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600" windowHeight="8415" activeTab="1"/>
  </bookViews>
  <sheets>
    <sheet name="&lt;5%X" sheetId="7" r:id="rId1"/>
    <sheet name="TI-pep-all" sheetId="1" r:id="rId2"/>
    <sheet name="up-reg" sheetId="5" r:id="rId3"/>
    <sheet name="down-reg" sheetId="4" r:id="rId4"/>
  </sheets>
  <calcPr calcId="145621"/>
</workbook>
</file>

<file path=xl/calcChain.xml><?xml version="1.0" encoding="utf-8"?>
<calcChain xmlns="http://schemas.openxmlformats.org/spreadsheetml/2006/main">
  <c r="M42" i="5"/>
  <c r="N42"/>
  <c r="BM42"/>
  <c r="AY42"/>
  <c r="AL42"/>
  <c r="AK42"/>
  <c r="V42"/>
  <c r="U42"/>
  <c r="T42"/>
  <c r="Q42"/>
  <c r="F42"/>
  <c r="A42"/>
  <c r="M40"/>
  <c r="N40"/>
  <c r="M41"/>
  <c r="N41"/>
  <c r="F41"/>
  <c r="A41"/>
  <c r="F40"/>
  <c r="A40"/>
  <c r="M37"/>
  <c r="N37"/>
  <c r="M38"/>
  <c r="N38"/>
  <c r="M39"/>
  <c r="N39"/>
  <c r="BM39"/>
  <c r="AY39"/>
  <c r="AL39"/>
  <c r="AK39"/>
  <c r="V39"/>
  <c r="U39"/>
  <c r="T39"/>
  <c r="Q39"/>
  <c r="F39"/>
  <c r="A39"/>
  <c r="BM38"/>
  <c r="AY38"/>
  <c r="AL38"/>
  <c r="AK38"/>
  <c r="V38"/>
  <c r="U38"/>
  <c r="T38"/>
  <c r="Q38"/>
  <c r="F38"/>
  <c r="A38"/>
  <c r="BM37"/>
  <c r="AY37"/>
  <c r="AL37"/>
  <c r="AK37"/>
  <c r="V37"/>
  <c r="U37"/>
  <c r="T37"/>
  <c r="Q37"/>
  <c r="F37"/>
  <c r="A37"/>
  <c r="M36"/>
  <c r="N36"/>
  <c r="BM36"/>
  <c r="AY36"/>
  <c r="AL36"/>
  <c r="AK36"/>
  <c r="V36"/>
  <c r="U36"/>
  <c r="T36"/>
  <c r="Q36"/>
  <c r="F36"/>
  <c r="A36"/>
  <c r="M34"/>
  <c r="N34"/>
  <c r="M35"/>
  <c r="N35"/>
  <c r="F35"/>
  <c r="A35"/>
  <c r="BM34"/>
  <c r="AY34"/>
  <c r="V34"/>
  <c r="U34"/>
  <c r="T34"/>
  <c r="Q34"/>
  <c r="F34"/>
  <c r="A34"/>
  <c r="M33"/>
  <c r="N33"/>
  <c r="AY33"/>
  <c r="V33"/>
  <c r="U33"/>
  <c r="T33"/>
  <c r="F33"/>
  <c r="A33"/>
  <c r="M32"/>
  <c r="N32"/>
  <c r="BM32"/>
  <c r="AY32"/>
  <c r="AL32"/>
  <c r="AK32"/>
  <c r="V32"/>
  <c r="U32"/>
  <c r="T32"/>
  <c r="Q32"/>
  <c r="F32"/>
  <c r="A32"/>
  <c r="M31"/>
  <c r="N31"/>
  <c r="Q31"/>
  <c r="T31"/>
  <c r="U31"/>
  <c r="V31"/>
  <c r="AK31"/>
  <c r="AL31"/>
  <c r="AY31"/>
  <c r="BM31"/>
  <c r="F31"/>
  <c r="A31"/>
  <c r="M30"/>
  <c r="N30"/>
  <c r="BM30"/>
  <c r="AY30"/>
  <c r="AL30"/>
  <c r="AK30"/>
  <c r="V30"/>
  <c r="U30"/>
  <c r="T30"/>
  <c r="Q30"/>
  <c r="F30"/>
  <c r="A30"/>
  <c r="M29"/>
  <c r="N29"/>
  <c r="F29"/>
  <c r="A29"/>
  <c r="M28"/>
  <c r="N28"/>
  <c r="BM28"/>
  <c r="AY28"/>
  <c r="AL28"/>
  <c r="AK28"/>
  <c r="V28"/>
  <c r="U28"/>
  <c r="T28"/>
  <c r="Q28"/>
  <c r="F28"/>
  <c r="A28"/>
  <c r="M27"/>
  <c r="N27"/>
  <c r="F27"/>
  <c r="A27"/>
  <c r="M26"/>
  <c r="N26"/>
  <c r="BM26"/>
  <c r="AY26"/>
  <c r="AL26"/>
  <c r="AK26"/>
  <c r="V26"/>
  <c r="U26"/>
  <c r="T26"/>
  <c r="Q26"/>
  <c r="F26"/>
  <c r="A26"/>
  <c r="M25"/>
  <c r="N25"/>
  <c r="AY25"/>
  <c r="V25"/>
  <c r="U25"/>
  <c r="T25"/>
  <c r="F25"/>
  <c r="A25"/>
  <c r="M24"/>
  <c r="N24"/>
  <c r="DE24"/>
  <c r="DD24"/>
  <c r="DC24"/>
  <c r="BM24"/>
  <c r="AL24"/>
  <c r="AK24"/>
  <c r="V24"/>
  <c r="U24"/>
  <c r="T24"/>
  <c r="Q24"/>
  <c r="F24"/>
  <c r="A24"/>
  <c r="M23"/>
  <c r="N23"/>
  <c r="CQ23"/>
  <c r="CP23"/>
  <c r="CO23"/>
  <c r="BM23"/>
  <c r="AL23"/>
  <c r="AK23"/>
  <c r="V23"/>
  <c r="U23"/>
  <c r="T23"/>
  <c r="Q23"/>
  <c r="F23"/>
  <c r="A23"/>
  <c r="M22"/>
  <c r="N22"/>
  <c r="BM22"/>
  <c r="AY22"/>
  <c r="AL22"/>
  <c r="AK22"/>
  <c r="V22"/>
  <c r="U22"/>
  <c r="T22"/>
  <c r="Q22"/>
  <c r="F22"/>
  <c r="A22"/>
  <c r="M21"/>
  <c r="N21"/>
  <c r="V21"/>
  <c r="U21"/>
  <c r="T21"/>
  <c r="F21"/>
  <c r="A21"/>
  <c r="M20"/>
  <c r="N20"/>
  <c r="BM20"/>
  <c r="AY20"/>
  <c r="AL20"/>
  <c r="AK20"/>
  <c r="V20"/>
  <c r="U20"/>
  <c r="T20"/>
  <c r="Q20"/>
  <c r="F20"/>
  <c r="A20"/>
  <c r="M19"/>
  <c r="N19"/>
  <c r="BM19"/>
  <c r="AY19"/>
  <c r="AL19"/>
  <c r="AK19"/>
  <c r="V19"/>
  <c r="U19"/>
  <c r="T19"/>
  <c r="Q19"/>
  <c r="F19"/>
  <c r="A19"/>
  <c r="M40" i="4"/>
  <c r="N40"/>
  <c r="DE40"/>
  <c r="DD40"/>
  <c r="DC40"/>
  <c r="CQ40"/>
  <c r="CP40"/>
  <c r="CO40"/>
  <c r="BM40"/>
  <c r="AY40"/>
  <c r="AL40"/>
  <c r="AK40"/>
  <c r="V40"/>
  <c r="U40"/>
  <c r="T40"/>
  <c r="Q40"/>
  <c r="F40"/>
  <c r="A40"/>
  <c r="M39"/>
  <c r="N39"/>
  <c r="BL134" i="7"/>
  <c r="AX134"/>
  <c r="AK134"/>
  <c r="AJ134"/>
  <c r="U134"/>
  <c r="T134"/>
  <c r="S134"/>
  <c r="P134"/>
  <c r="M134"/>
  <c r="F134"/>
  <c r="A134"/>
  <c r="BM39" i="4"/>
  <c r="AY39"/>
  <c r="AL39"/>
  <c r="AK39"/>
  <c r="V39"/>
  <c r="U39"/>
  <c r="T39"/>
  <c r="Q39"/>
  <c r="F39"/>
  <c r="A39"/>
  <c r="M37"/>
  <c r="N37"/>
  <c r="M38"/>
  <c r="N38"/>
  <c r="Q37"/>
  <c r="T37"/>
  <c r="U37"/>
  <c r="V37"/>
  <c r="AY37"/>
  <c r="BM37"/>
  <c r="Q38"/>
  <c r="T38"/>
  <c r="U38"/>
  <c r="V38"/>
  <c r="AY38"/>
  <c r="DC38"/>
  <c r="DD38"/>
  <c r="DE38"/>
  <c r="F38"/>
  <c r="A38"/>
  <c r="F37"/>
  <c r="A37"/>
  <c r="M36"/>
  <c r="N36"/>
  <c r="BM36"/>
  <c r="AY36"/>
  <c r="AL36"/>
  <c r="AK36"/>
  <c r="V36"/>
  <c r="U36"/>
  <c r="T36"/>
  <c r="Q36"/>
  <c r="F36"/>
  <c r="A36"/>
  <c r="M35"/>
  <c r="N35"/>
  <c r="V35"/>
  <c r="U35"/>
  <c r="T35"/>
  <c r="F35"/>
  <c r="A35"/>
  <c r="M34"/>
  <c r="N34"/>
  <c r="F34"/>
  <c r="A34"/>
  <c r="M33"/>
  <c r="N33"/>
  <c r="N32"/>
  <c r="F33"/>
  <c r="A33"/>
  <c r="M31"/>
  <c r="N31"/>
  <c r="BM32"/>
  <c r="AL32"/>
  <c r="AK32"/>
  <c r="V32"/>
  <c r="U32"/>
  <c r="T32"/>
  <c r="Q32"/>
  <c r="F32"/>
  <c r="A32"/>
  <c r="BM31"/>
  <c r="AY31"/>
  <c r="AL31"/>
  <c r="AK31"/>
  <c r="V31"/>
  <c r="U31"/>
  <c r="T31"/>
  <c r="Q31"/>
  <c r="F31"/>
  <c r="A31"/>
  <c r="M30"/>
  <c r="N30"/>
  <c r="V30"/>
  <c r="U30"/>
  <c r="T30"/>
  <c r="F30"/>
  <c r="A30"/>
  <c r="M29"/>
  <c r="N29"/>
  <c r="V29"/>
  <c r="U29"/>
  <c r="T29"/>
  <c r="F29"/>
  <c r="A29"/>
  <c r="M28"/>
  <c r="N28"/>
  <c r="BM28"/>
  <c r="AY28"/>
  <c r="AL28"/>
  <c r="AK28"/>
  <c r="V28"/>
  <c r="U28"/>
  <c r="T28"/>
  <c r="Q28"/>
  <c r="F28"/>
  <c r="A28"/>
  <c r="M27"/>
  <c r="N27"/>
  <c r="BM27"/>
  <c r="AY27"/>
  <c r="AL27"/>
  <c r="AK27"/>
  <c r="V27"/>
  <c r="U27"/>
  <c r="T27"/>
  <c r="Q27"/>
  <c r="F27"/>
  <c r="A27"/>
  <c r="AY26"/>
  <c r="V26"/>
  <c r="U26"/>
  <c r="T26"/>
  <c r="Q26"/>
  <c r="F26"/>
  <c r="A26"/>
  <c r="M25"/>
  <c r="N25"/>
  <c r="BM25"/>
  <c r="AY25"/>
  <c r="AL25"/>
  <c r="AK25"/>
  <c r="V25"/>
  <c r="U25"/>
  <c r="T25"/>
  <c r="F25"/>
  <c r="A25"/>
  <c r="M24"/>
  <c r="N24"/>
  <c r="DD24"/>
  <c r="DC24"/>
  <c r="DB24"/>
  <c r="F24"/>
  <c r="A24"/>
  <c r="M23"/>
  <c r="N23"/>
  <c r="F23"/>
  <c r="A23"/>
  <c r="M32" l="1"/>
  <c r="M26"/>
  <c r="N26"/>
  <c r="A309" i="1"/>
  <c r="F309"/>
  <c r="M309"/>
  <c r="N309"/>
  <c r="A342"/>
  <c r="F342"/>
  <c r="M342"/>
  <c r="N342"/>
  <c r="M14" i="4" l="1"/>
  <c r="N14"/>
  <c r="M13"/>
  <c r="BM14"/>
  <c r="AY14"/>
  <c r="AL14"/>
  <c r="AK14"/>
  <c r="V14"/>
  <c r="U14"/>
  <c r="T14"/>
  <c r="F14"/>
  <c r="A14"/>
  <c r="A318" i="7"/>
  <c r="A16" i="5"/>
  <c r="F16"/>
  <c r="M16"/>
  <c r="N16"/>
  <c r="Q16"/>
  <c r="T16"/>
  <c r="U16"/>
  <c r="V16"/>
  <c r="AK16"/>
  <c r="AL16"/>
  <c r="AY16"/>
  <c r="A11"/>
  <c r="F11"/>
  <c r="M11"/>
  <c r="N11"/>
  <c r="Q11"/>
  <c r="T11"/>
  <c r="U11"/>
  <c r="V11"/>
  <c r="AK11"/>
  <c r="AL11"/>
  <c r="AY11"/>
  <c r="BM11"/>
  <c r="N368" i="1"/>
  <c r="V368"/>
  <c r="U368"/>
  <c r="T368"/>
  <c r="M368"/>
  <c r="F368"/>
  <c r="A179"/>
  <c r="A13" i="4"/>
  <c r="F13"/>
  <c r="N13"/>
  <c r="A11"/>
  <c r="F11"/>
  <c r="M11"/>
  <c r="N11"/>
  <c r="A9"/>
  <c r="F9"/>
  <c r="M9"/>
  <c r="N9"/>
  <c r="CO9"/>
  <c r="CP9"/>
  <c r="CQ9"/>
  <c r="A97" i="7" l="1"/>
  <c r="F97"/>
  <c r="M97"/>
  <c r="P97"/>
  <c r="S97"/>
  <c r="T97"/>
  <c r="U97"/>
  <c r="AJ97"/>
  <c r="AK97"/>
  <c r="AX97"/>
  <c r="BL97"/>
  <c r="A293"/>
  <c r="F293"/>
  <c r="M293"/>
  <c r="A161"/>
  <c r="F161"/>
  <c r="M161"/>
  <c r="AX161"/>
  <c r="DE3" i="4"/>
  <c r="DD3"/>
  <c r="DC3"/>
  <c r="CQ3"/>
  <c r="CP3"/>
  <c r="CO3"/>
  <c r="BM3"/>
  <c r="AY3"/>
  <c r="AL3"/>
  <c r="AK3"/>
  <c r="V3"/>
  <c r="U3"/>
  <c r="T3"/>
  <c r="Q3"/>
  <c r="N3"/>
  <c r="M3"/>
  <c r="F3"/>
  <c r="A3"/>
  <c r="AY4"/>
  <c r="V4"/>
  <c r="U4"/>
  <c r="T4"/>
  <c r="Q4"/>
  <c r="N4"/>
  <c r="M4"/>
  <c r="F4"/>
  <c r="A4"/>
  <c r="BM5"/>
  <c r="AY5"/>
  <c r="AL5"/>
  <c r="AK5"/>
  <c r="V5"/>
  <c r="U5"/>
  <c r="T5"/>
  <c r="Q5"/>
  <c r="N5"/>
  <c r="M5"/>
  <c r="F5"/>
  <c r="A5"/>
  <c r="AY6"/>
  <c r="V6"/>
  <c r="U6"/>
  <c r="T6"/>
  <c r="N6"/>
  <c r="M6"/>
  <c r="F6"/>
  <c r="A6"/>
  <c r="BM7"/>
  <c r="AY7"/>
  <c r="AL7"/>
  <c r="AK7"/>
  <c r="V7"/>
  <c r="U7"/>
  <c r="T7"/>
  <c r="Q7"/>
  <c r="N7"/>
  <c r="M7"/>
  <c r="F7"/>
  <c r="A7"/>
  <c r="BM8"/>
  <c r="AY8"/>
  <c r="V8"/>
  <c r="U8"/>
  <c r="T8"/>
  <c r="Q8"/>
  <c r="N8"/>
  <c r="M8"/>
  <c r="F8"/>
  <c r="A8"/>
  <c r="AY10"/>
  <c r="V10"/>
  <c r="U10"/>
  <c r="T10"/>
  <c r="Q10"/>
  <c r="N10"/>
  <c r="M10"/>
  <c r="F10"/>
  <c r="A10"/>
  <c r="V12"/>
  <c r="U12"/>
  <c r="T12"/>
  <c r="N12"/>
  <c r="M12"/>
  <c r="F12"/>
  <c r="A12"/>
  <c r="AY15"/>
  <c r="V15"/>
  <c r="U15"/>
  <c r="T15"/>
  <c r="N15"/>
  <c r="M15"/>
  <c r="F15"/>
  <c r="A15"/>
  <c r="N16"/>
  <c r="M16"/>
  <c r="F16"/>
  <c r="A16"/>
  <c r="BM17"/>
  <c r="AY17"/>
  <c r="AL17"/>
  <c r="AK17"/>
  <c r="V17"/>
  <c r="U17"/>
  <c r="T17"/>
  <c r="Q17"/>
  <c r="N17"/>
  <c r="M17"/>
  <c r="F17"/>
  <c r="A17"/>
  <c r="BM18"/>
  <c r="AY18"/>
  <c r="AL18"/>
  <c r="AK18"/>
  <c r="V18"/>
  <c r="U18"/>
  <c r="T18"/>
  <c r="Q18"/>
  <c r="N18"/>
  <c r="M18"/>
  <c r="F18"/>
  <c r="A18"/>
  <c r="BM19"/>
  <c r="AY19"/>
  <c r="AL19"/>
  <c r="AK19"/>
  <c r="V19"/>
  <c r="U19"/>
  <c r="T19"/>
  <c r="Q19"/>
  <c r="N19"/>
  <c r="M19"/>
  <c r="F19"/>
  <c r="A19"/>
  <c r="BM20"/>
  <c r="AY20"/>
  <c r="AL20"/>
  <c r="AK20"/>
  <c r="V20"/>
  <c r="U20"/>
  <c r="T20"/>
  <c r="Q20"/>
  <c r="N20"/>
  <c r="M20"/>
  <c r="F20"/>
  <c r="A20"/>
  <c r="N21"/>
  <c r="M21"/>
  <c r="F21"/>
  <c r="A21"/>
  <c r="BM22"/>
  <c r="AY22"/>
  <c r="AL22"/>
  <c r="AK22"/>
  <c r="V22"/>
  <c r="U22"/>
  <c r="T22"/>
  <c r="Q22"/>
  <c r="N22"/>
  <c r="M22"/>
  <c r="F22"/>
  <c r="A22"/>
  <c r="AY2"/>
  <c r="V2"/>
  <c r="U2"/>
  <c r="T2"/>
  <c r="N2"/>
  <c r="M2"/>
  <c r="F2"/>
  <c r="A2"/>
  <c r="BM3" i="5"/>
  <c r="AY3"/>
  <c r="AL3"/>
  <c r="AK3"/>
  <c r="V3"/>
  <c r="U3"/>
  <c r="T3"/>
  <c r="Q3"/>
  <c r="N3"/>
  <c r="M3"/>
  <c r="F3"/>
  <c r="A3"/>
  <c r="BM4"/>
  <c r="AY4"/>
  <c r="AL4"/>
  <c r="AK4"/>
  <c r="V4"/>
  <c r="U4"/>
  <c r="T4"/>
  <c r="Q4"/>
  <c r="N4"/>
  <c r="M4"/>
  <c r="F4"/>
  <c r="A4"/>
  <c r="AY5"/>
  <c r="V5"/>
  <c r="U5"/>
  <c r="T5"/>
  <c r="Q5"/>
  <c r="N5"/>
  <c r="M5"/>
  <c r="F5"/>
  <c r="A5"/>
  <c r="CQ6"/>
  <c r="CP6"/>
  <c r="CO6"/>
  <c r="N6"/>
  <c r="M6"/>
  <c r="F6"/>
  <c r="A6"/>
  <c r="BM7"/>
  <c r="AY7"/>
  <c r="AL7"/>
  <c r="AK7"/>
  <c r="V7"/>
  <c r="U7"/>
  <c r="T7"/>
  <c r="Q7"/>
  <c r="N7"/>
  <c r="M7"/>
  <c r="F7"/>
  <c r="A7"/>
  <c r="BM8"/>
  <c r="AY8"/>
  <c r="AL8"/>
  <c r="AK8"/>
  <c r="V8"/>
  <c r="U8"/>
  <c r="T8"/>
  <c r="Q8"/>
  <c r="N8"/>
  <c r="M8"/>
  <c r="F8"/>
  <c r="A8"/>
  <c r="BM9"/>
  <c r="AY9"/>
  <c r="AL9"/>
  <c r="AK9"/>
  <c r="V9"/>
  <c r="U9"/>
  <c r="T9"/>
  <c r="Q9"/>
  <c r="N9"/>
  <c r="M9"/>
  <c r="F9"/>
  <c r="A9"/>
  <c r="BM10"/>
  <c r="AY10"/>
  <c r="AL10"/>
  <c r="AK10"/>
  <c r="V10"/>
  <c r="U10"/>
  <c r="T10"/>
  <c r="Q10"/>
  <c r="N10"/>
  <c r="M10"/>
  <c r="F10"/>
  <c r="A10"/>
  <c r="BM12"/>
  <c r="AY12"/>
  <c r="AL12"/>
  <c r="AK12"/>
  <c r="V12"/>
  <c r="U12"/>
  <c r="T12"/>
  <c r="Q12"/>
  <c r="N12"/>
  <c r="M12"/>
  <c r="F12"/>
  <c r="A12"/>
  <c r="BM2"/>
  <c r="AY2"/>
  <c r="AL2"/>
  <c r="AK2"/>
  <c r="V2"/>
  <c r="U2"/>
  <c r="T2"/>
  <c r="Q2"/>
  <c r="N2"/>
  <c r="M2"/>
  <c r="F2"/>
  <c r="A2"/>
  <c r="AY13"/>
  <c r="V13"/>
  <c r="U13"/>
  <c r="T13"/>
  <c r="N13"/>
  <c r="M13"/>
  <c r="F13"/>
  <c r="A13"/>
  <c r="N14"/>
  <c r="M14"/>
  <c r="F14"/>
  <c r="A14"/>
  <c r="BM15"/>
  <c r="AL15"/>
  <c r="AK15"/>
  <c r="V15"/>
  <c r="U15"/>
  <c r="T15"/>
  <c r="Q15"/>
  <c r="N15"/>
  <c r="M15"/>
  <c r="F15"/>
  <c r="A15"/>
  <c r="AY17"/>
  <c r="AL17"/>
  <c r="AK17"/>
  <c r="V17"/>
  <c r="U17"/>
  <c r="T17"/>
  <c r="Q17"/>
  <c r="N17"/>
  <c r="M17"/>
  <c r="F17"/>
  <c r="A17"/>
  <c r="CQ18"/>
  <c r="CP18"/>
  <c r="CO18"/>
  <c r="BM18"/>
  <c r="AL18"/>
  <c r="AK18"/>
  <c r="V18"/>
  <c r="U18"/>
  <c r="T18"/>
  <c r="Q18"/>
  <c r="N18"/>
  <c r="M18"/>
  <c r="F18"/>
  <c r="A18"/>
  <c r="BL154" i="7"/>
  <c r="AX154"/>
  <c r="AK154"/>
  <c r="AJ154"/>
  <c r="U154"/>
  <c r="T154"/>
  <c r="S154"/>
  <c r="M154"/>
  <c r="F154"/>
  <c r="A154"/>
  <c r="BL200"/>
  <c r="AX200"/>
  <c r="AK200"/>
  <c r="AJ200"/>
  <c r="U200"/>
  <c r="T200"/>
  <c r="S200"/>
  <c r="P200"/>
  <c r="M200"/>
  <c r="F200"/>
  <c r="A200"/>
  <c r="BL331"/>
  <c r="AX331"/>
  <c r="AK331"/>
  <c r="AJ331"/>
  <c r="U331"/>
  <c r="T331"/>
  <c r="S331"/>
  <c r="P331"/>
  <c r="M331"/>
  <c r="F331"/>
  <c r="A331"/>
  <c r="BL339"/>
  <c r="AX339"/>
  <c r="AK339"/>
  <c r="AJ339"/>
  <c r="U339"/>
  <c r="T339"/>
  <c r="S339"/>
  <c r="P339"/>
  <c r="M339"/>
  <c r="F339"/>
  <c r="A339"/>
  <c r="BL37"/>
  <c r="AX37"/>
  <c r="AK37"/>
  <c r="AJ37"/>
  <c r="U37"/>
  <c r="T37"/>
  <c r="S37"/>
  <c r="P37"/>
  <c r="M37"/>
  <c r="F37"/>
  <c r="A37"/>
  <c r="U74"/>
  <c r="T74"/>
  <c r="S74"/>
  <c r="M74"/>
  <c r="F74"/>
  <c r="A74"/>
  <c r="BL108"/>
  <c r="AX108"/>
  <c r="AK108"/>
  <c r="AJ108"/>
  <c r="U108"/>
  <c r="T108"/>
  <c r="S108"/>
  <c r="P108"/>
  <c r="M108"/>
  <c r="F108"/>
  <c r="A108"/>
  <c r="BL149"/>
  <c r="AX149"/>
  <c r="AK149"/>
  <c r="AJ149"/>
  <c r="U149"/>
  <c r="T149"/>
  <c r="S149"/>
  <c r="P149"/>
  <c r="M149"/>
  <c r="F149"/>
  <c r="A149"/>
  <c r="BL322"/>
  <c r="AX322"/>
  <c r="AK322"/>
  <c r="AJ322"/>
  <c r="U322"/>
  <c r="T322"/>
  <c r="S322"/>
  <c r="P322"/>
  <c r="M322"/>
  <c r="F322"/>
  <c r="A322"/>
  <c r="M303"/>
  <c r="F303"/>
  <c r="A303"/>
  <c r="BL79"/>
  <c r="AX79"/>
  <c r="AK79"/>
  <c r="AJ79"/>
  <c r="U79"/>
  <c r="T79"/>
  <c r="S79"/>
  <c r="P79"/>
  <c r="M79"/>
  <c r="F79"/>
  <c r="A79"/>
  <c r="AK91"/>
  <c r="AJ91"/>
  <c r="U91"/>
  <c r="T91"/>
  <c r="S91"/>
  <c r="P91"/>
  <c r="M91"/>
  <c r="F91"/>
  <c r="A91"/>
  <c r="M207"/>
  <c r="F207"/>
  <c r="A207"/>
  <c r="BL82"/>
  <c r="AX82"/>
  <c r="AK82"/>
  <c r="AJ82"/>
  <c r="U82"/>
  <c r="T82"/>
  <c r="S82"/>
  <c r="P82"/>
  <c r="M82"/>
  <c r="F82"/>
  <c r="A82"/>
  <c r="BL112"/>
  <c r="AX112"/>
  <c r="AK112"/>
  <c r="AJ112"/>
  <c r="U112"/>
  <c r="T112"/>
  <c r="S112"/>
  <c r="P112"/>
  <c r="M112"/>
  <c r="F112"/>
  <c r="A112"/>
  <c r="M323"/>
  <c r="F323"/>
  <c r="A323"/>
  <c r="BL269"/>
  <c r="AX269"/>
  <c r="AK269"/>
  <c r="AJ269"/>
  <c r="U269"/>
  <c r="T269"/>
  <c r="S269"/>
  <c r="P269"/>
  <c r="M269"/>
  <c r="F269"/>
  <c r="A269"/>
  <c r="BL337"/>
  <c r="AX337"/>
  <c r="AK337"/>
  <c r="AJ337"/>
  <c r="U337"/>
  <c r="T337"/>
  <c r="S337"/>
  <c r="P337"/>
  <c r="M337"/>
  <c r="F337"/>
  <c r="A337"/>
  <c r="BL54"/>
  <c r="AX54"/>
  <c r="AK54"/>
  <c r="AJ54"/>
  <c r="U54"/>
  <c r="T54"/>
  <c r="S54"/>
  <c r="P54"/>
  <c r="M54"/>
  <c r="F54"/>
  <c r="A54"/>
  <c r="AX244"/>
  <c r="U244"/>
  <c r="T244"/>
  <c r="S244"/>
  <c r="M244"/>
  <c r="F244"/>
  <c r="A244"/>
  <c r="M136"/>
  <c r="F136"/>
  <c r="A136"/>
  <c r="BL353"/>
  <c r="AX353"/>
  <c r="AK353"/>
  <c r="AJ353"/>
  <c r="U353"/>
  <c r="T353"/>
  <c r="S353"/>
  <c r="P353"/>
  <c r="M353"/>
  <c r="F353"/>
  <c r="A353"/>
  <c r="BL57"/>
  <c r="AX57"/>
  <c r="AK57"/>
  <c r="AJ57"/>
  <c r="U57"/>
  <c r="T57"/>
  <c r="S57"/>
  <c r="P57"/>
  <c r="M57"/>
  <c r="F57"/>
  <c r="A57"/>
  <c r="M220"/>
  <c r="F220"/>
  <c r="A220"/>
  <c r="AX168"/>
  <c r="U168"/>
  <c r="T168"/>
  <c r="S168"/>
  <c r="P168"/>
  <c r="M168"/>
  <c r="F168"/>
  <c r="A168"/>
  <c r="BL328"/>
  <c r="AX328"/>
  <c r="AK328"/>
  <c r="AJ328"/>
  <c r="U328"/>
  <c r="T328"/>
  <c r="S328"/>
  <c r="P328"/>
  <c r="M328"/>
  <c r="F328"/>
  <c r="A328"/>
  <c r="BL152"/>
  <c r="AX152"/>
  <c r="AK152"/>
  <c r="AJ152"/>
  <c r="U152"/>
  <c r="T152"/>
  <c r="S152"/>
  <c r="P152"/>
  <c r="M152"/>
  <c r="F152"/>
  <c r="A152"/>
  <c r="BL312"/>
  <c r="AX312"/>
  <c r="AK312"/>
  <c r="AJ312"/>
  <c r="U312"/>
  <c r="T312"/>
  <c r="S312"/>
  <c r="P312"/>
  <c r="M312"/>
  <c r="F312"/>
  <c r="A312"/>
  <c r="M256"/>
  <c r="F256"/>
  <c r="A256"/>
  <c r="BL55"/>
  <c r="AX55"/>
  <c r="AK55"/>
  <c r="AJ55"/>
  <c r="U55"/>
  <c r="T55"/>
  <c r="S55"/>
  <c r="P55"/>
  <c r="M55"/>
  <c r="F55"/>
  <c r="A55"/>
  <c r="AX317"/>
  <c r="M317"/>
  <c r="F317"/>
  <c r="A317"/>
  <c r="BL53"/>
  <c r="AX53"/>
  <c r="AK53"/>
  <c r="AJ53"/>
  <c r="U53"/>
  <c r="T53"/>
  <c r="S53"/>
  <c r="P53"/>
  <c r="M53"/>
  <c r="F53"/>
  <c r="A53"/>
  <c r="AK229"/>
  <c r="AJ229"/>
  <c r="U229"/>
  <c r="T229"/>
  <c r="S229"/>
  <c r="P229"/>
  <c r="M229"/>
  <c r="F229"/>
  <c r="A229"/>
  <c r="M318"/>
  <c r="F318"/>
  <c r="BL29"/>
  <c r="AX29"/>
  <c r="AK29"/>
  <c r="AJ29"/>
  <c r="U29"/>
  <c r="T29"/>
  <c r="S29"/>
  <c r="P29"/>
  <c r="M29"/>
  <c r="F29"/>
  <c r="A29"/>
  <c r="M251"/>
  <c r="F251"/>
  <c r="A251"/>
  <c r="BL33"/>
  <c r="AX33"/>
  <c r="U33"/>
  <c r="T33"/>
  <c r="S33"/>
  <c r="P33"/>
  <c r="M33"/>
  <c r="F33"/>
  <c r="A33"/>
  <c r="BL25"/>
  <c r="AX25"/>
  <c r="AK25"/>
  <c r="AJ25"/>
  <c r="U25"/>
  <c r="T25"/>
  <c r="S25"/>
  <c r="P25"/>
  <c r="M25"/>
  <c r="F25"/>
  <c r="A25"/>
  <c r="M166"/>
  <c r="F166"/>
  <c r="A166"/>
  <c r="U167"/>
  <c r="T167"/>
  <c r="S167"/>
  <c r="M167"/>
  <c r="F167"/>
  <c r="A167"/>
  <c r="M169"/>
  <c r="F169"/>
  <c r="A169"/>
  <c r="BL170"/>
  <c r="AX170"/>
  <c r="AK170"/>
  <c r="AJ170"/>
  <c r="U170"/>
  <c r="T170"/>
  <c r="S170"/>
  <c r="P170"/>
  <c r="M170"/>
  <c r="F170"/>
  <c r="A170"/>
  <c r="AX171"/>
  <c r="U171"/>
  <c r="T171"/>
  <c r="S171"/>
  <c r="P171"/>
  <c r="M171"/>
  <c r="F171"/>
  <c r="A171"/>
  <c r="AX172"/>
  <c r="U172"/>
  <c r="T172"/>
  <c r="S172"/>
  <c r="P172"/>
  <c r="M172"/>
  <c r="F172"/>
  <c r="A172"/>
  <c r="M26"/>
  <c r="F26"/>
  <c r="A26"/>
  <c r="M27"/>
  <c r="F27"/>
  <c r="A27"/>
  <c r="CP173"/>
  <c r="CO173"/>
  <c r="CN173"/>
  <c r="BL173"/>
  <c r="AK173"/>
  <c r="AJ173"/>
  <c r="U173"/>
  <c r="T173"/>
  <c r="S173"/>
  <c r="P173"/>
  <c r="M173"/>
  <c r="F173"/>
  <c r="A173"/>
  <c r="M28"/>
  <c r="F28"/>
  <c r="A28"/>
  <c r="CP174"/>
  <c r="CO174"/>
  <c r="CN174"/>
  <c r="BL174"/>
  <c r="AK174"/>
  <c r="AJ174"/>
  <c r="U174"/>
  <c r="T174"/>
  <c r="S174"/>
  <c r="P174"/>
  <c r="M174"/>
  <c r="F174"/>
  <c r="A174"/>
  <c r="CP175"/>
  <c r="CO175"/>
  <c r="CN175"/>
  <c r="BL175"/>
  <c r="AK175"/>
  <c r="AJ175"/>
  <c r="U175"/>
  <c r="T175"/>
  <c r="S175"/>
  <c r="P175"/>
  <c r="M175"/>
  <c r="F175"/>
  <c r="A175"/>
  <c r="M30"/>
  <c r="F30"/>
  <c r="A30"/>
  <c r="BL31"/>
  <c r="AX31"/>
  <c r="AK31"/>
  <c r="AJ31"/>
  <c r="U31"/>
  <c r="T31"/>
  <c r="S31"/>
  <c r="P31"/>
  <c r="M31"/>
  <c r="F31"/>
  <c r="A31"/>
  <c r="BL176"/>
  <c r="AX176"/>
  <c r="AK176"/>
  <c r="AJ176"/>
  <c r="U176"/>
  <c r="T176"/>
  <c r="S176"/>
  <c r="P176"/>
  <c r="M176"/>
  <c r="F176"/>
  <c r="A176"/>
  <c r="AX177"/>
  <c r="AK177"/>
  <c r="AJ177"/>
  <c r="U177"/>
  <c r="T177"/>
  <c r="S177"/>
  <c r="P177"/>
  <c r="M177"/>
  <c r="F177"/>
  <c r="A177"/>
  <c r="AX178"/>
  <c r="AK178"/>
  <c r="AJ178"/>
  <c r="U178"/>
  <c r="T178"/>
  <c r="S178"/>
  <c r="P178"/>
  <c r="M178"/>
  <c r="F178"/>
  <c r="A178"/>
  <c r="U179"/>
  <c r="T179"/>
  <c r="S179"/>
  <c r="M179"/>
  <c r="F179"/>
  <c r="A179"/>
  <c r="AX180"/>
  <c r="U180"/>
  <c r="T180"/>
  <c r="S180"/>
  <c r="M180"/>
  <c r="F180"/>
  <c r="A180"/>
  <c r="BL32"/>
  <c r="AX32"/>
  <c r="AK32"/>
  <c r="AJ32"/>
  <c r="U32"/>
  <c r="T32"/>
  <c r="S32"/>
  <c r="P32"/>
  <c r="M32"/>
  <c r="F32"/>
  <c r="A32"/>
  <c r="M181"/>
  <c r="F181"/>
  <c r="A181"/>
  <c r="AX182"/>
  <c r="AK182"/>
  <c r="AJ182"/>
  <c r="U182"/>
  <c r="T182"/>
  <c r="S182"/>
  <c r="P182"/>
  <c r="M182"/>
  <c r="F182"/>
  <c r="A182"/>
  <c r="M34"/>
  <c r="F34"/>
  <c r="A34"/>
  <c r="M35"/>
  <c r="F35"/>
  <c r="A35"/>
  <c r="U2"/>
  <c r="T2"/>
  <c r="S2"/>
  <c r="M2"/>
  <c r="F2"/>
  <c r="A2"/>
  <c r="BL36"/>
  <c r="AX36"/>
  <c r="AK36"/>
  <c r="AJ36"/>
  <c r="U36"/>
  <c r="T36"/>
  <c r="S36"/>
  <c r="P36"/>
  <c r="M36"/>
  <c r="F36"/>
  <c r="A36"/>
  <c r="M183"/>
  <c r="F183"/>
  <c r="A183"/>
  <c r="BL184"/>
  <c r="AK184"/>
  <c r="AJ184"/>
  <c r="U184"/>
  <c r="T184"/>
  <c r="S184"/>
  <c r="P184"/>
  <c r="M184"/>
  <c r="F184"/>
  <c r="A184"/>
  <c r="AX38"/>
  <c r="U38"/>
  <c r="T38"/>
  <c r="S38"/>
  <c r="M38"/>
  <c r="F38"/>
  <c r="A38"/>
  <c r="M185"/>
  <c r="F185"/>
  <c r="A185"/>
  <c r="AX39"/>
  <c r="U39"/>
  <c r="T39"/>
  <c r="S39"/>
  <c r="P39"/>
  <c r="M39"/>
  <c r="F39"/>
  <c r="A39"/>
  <c r="M186"/>
  <c r="F186"/>
  <c r="A186"/>
  <c r="DD40"/>
  <c r="DC40"/>
  <c r="DB40"/>
  <c r="BL40"/>
  <c r="AK40"/>
  <c r="AJ40"/>
  <c r="U40"/>
  <c r="T40"/>
  <c r="S40"/>
  <c r="P40"/>
  <c r="M40"/>
  <c r="F40"/>
  <c r="A40"/>
  <c r="DD187"/>
  <c r="DC187"/>
  <c r="DB187"/>
  <c r="BL187"/>
  <c r="AK187"/>
  <c r="AJ187"/>
  <c r="U187"/>
  <c r="T187"/>
  <c r="S187"/>
  <c r="P187"/>
  <c r="M187"/>
  <c r="F187"/>
  <c r="A187"/>
  <c r="DD41"/>
  <c r="DC41"/>
  <c r="DB41"/>
  <c r="M41"/>
  <c r="F41"/>
  <c r="A41"/>
  <c r="DD42"/>
  <c r="DC42"/>
  <c r="DB42"/>
  <c r="U42"/>
  <c r="T42"/>
  <c r="S42"/>
  <c r="M42"/>
  <c r="F42"/>
  <c r="A42"/>
  <c r="M188"/>
  <c r="F188"/>
  <c r="A188"/>
  <c r="BL43"/>
  <c r="AX43"/>
  <c r="AK43"/>
  <c r="AJ43"/>
  <c r="U43"/>
  <c r="T43"/>
  <c r="S43"/>
  <c r="M43"/>
  <c r="F43"/>
  <c r="A43"/>
  <c r="AX189"/>
  <c r="U189"/>
  <c r="T189"/>
  <c r="S189"/>
  <c r="M189"/>
  <c r="F189"/>
  <c r="A189"/>
  <c r="AX190"/>
  <c r="U190"/>
  <c r="T190"/>
  <c r="S190"/>
  <c r="M190"/>
  <c r="F190"/>
  <c r="A190"/>
  <c r="M192"/>
  <c r="F192"/>
  <c r="A192"/>
  <c r="AK193"/>
  <c r="AJ193"/>
  <c r="U193"/>
  <c r="T193"/>
  <c r="S193"/>
  <c r="P193"/>
  <c r="M193"/>
  <c r="F193"/>
  <c r="A193"/>
  <c r="AX44"/>
  <c r="U44"/>
  <c r="T44"/>
  <c r="S44"/>
  <c r="M44"/>
  <c r="F44"/>
  <c r="A44"/>
  <c r="AX45"/>
  <c r="U45"/>
  <c r="T45"/>
  <c r="S45"/>
  <c r="M45"/>
  <c r="F45"/>
  <c r="A45"/>
  <c r="M194"/>
  <c r="F194"/>
  <c r="A194"/>
  <c r="U195"/>
  <c r="T195"/>
  <c r="S195"/>
  <c r="P195"/>
  <c r="M195"/>
  <c r="F195"/>
  <c r="A195"/>
  <c r="M196"/>
  <c r="F196"/>
  <c r="A196"/>
  <c r="U46"/>
  <c r="T46"/>
  <c r="S46"/>
  <c r="P46"/>
  <c r="M46"/>
  <c r="F46"/>
  <c r="A46"/>
  <c r="M47"/>
  <c r="F47"/>
  <c r="A47"/>
  <c r="AX48"/>
  <c r="U48"/>
  <c r="T48"/>
  <c r="S48"/>
  <c r="M48"/>
  <c r="F48"/>
  <c r="A48"/>
  <c r="AX49"/>
  <c r="U49"/>
  <c r="T49"/>
  <c r="S49"/>
  <c r="M49"/>
  <c r="F49"/>
  <c r="A49"/>
  <c r="M198"/>
  <c r="F198"/>
  <c r="A198"/>
  <c r="M199"/>
  <c r="F199"/>
  <c r="A199"/>
  <c r="AX51"/>
  <c r="U51"/>
  <c r="T51"/>
  <c r="S51"/>
  <c r="P51"/>
  <c r="M51"/>
  <c r="F51"/>
  <c r="A51"/>
  <c r="M52"/>
  <c r="F52"/>
  <c r="A52"/>
  <c r="M201"/>
  <c r="F201"/>
  <c r="A201"/>
  <c r="M204"/>
  <c r="F204"/>
  <c r="A204"/>
  <c r="M205"/>
  <c r="F205"/>
  <c r="A205"/>
  <c r="BL56"/>
  <c r="AX56"/>
  <c r="AK56"/>
  <c r="AJ56"/>
  <c r="U56"/>
  <c r="T56"/>
  <c r="S56"/>
  <c r="P56"/>
  <c r="M56"/>
  <c r="F56"/>
  <c r="A56"/>
  <c r="BL206"/>
  <c r="AX206"/>
  <c r="AK206"/>
  <c r="AJ206"/>
  <c r="U206"/>
  <c r="T206"/>
  <c r="S206"/>
  <c r="P206"/>
  <c r="M206"/>
  <c r="F206"/>
  <c r="A206"/>
  <c r="BL58"/>
  <c r="AX58"/>
  <c r="AK58"/>
  <c r="AJ58"/>
  <c r="U58"/>
  <c r="T58"/>
  <c r="S58"/>
  <c r="P58"/>
  <c r="M58"/>
  <c r="F58"/>
  <c r="A58"/>
  <c r="M59"/>
  <c r="F59"/>
  <c r="A59"/>
  <c r="M60"/>
  <c r="F60"/>
  <c r="A60"/>
  <c r="M61"/>
  <c r="F61"/>
  <c r="A61"/>
  <c r="BL208"/>
  <c r="AX208"/>
  <c r="AK208"/>
  <c r="AJ208"/>
  <c r="U208"/>
  <c r="T208"/>
  <c r="S208"/>
  <c r="P208"/>
  <c r="M208"/>
  <c r="F208"/>
  <c r="A208"/>
  <c r="M62"/>
  <c r="F62"/>
  <c r="A62"/>
  <c r="M210"/>
  <c r="F210"/>
  <c r="A210"/>
  <c r="M211"/>
  <c r="F211"/>
  <c r="A211"/>
  <c r="BL212"/>
  <c r="AX212"/>
  <c r="AK212"/>
  <c r="AJ212"/>
  <c r="U212"/>
  <c r="T212"/>
  <c r="S212"/>
  <c r="P212"/>
  <c r="M212"/>
  <c r="F212"/>
  <c r="A212"/>
  <c r="BL63"/>
  <c r="AX63"/>
  <c r="AK63"/>
  <c r="AJ63"/>
  <c r="U63"/>
  <c r="T63"/>
  <c r="S63"/>
  <c r="P63"/>
  <c r="M63"/>
  <c r="F63"/>
  <c r="A63"/>
  <c r="BL64"/>
  <c r="AX64"/>
  <c r="AK64"/>
  <c r="AJ64"/>
  <c r="U64"/>
  <c r="T64"/>
  <c r="S64"/>
  <c r="M64"/>
  <c r="F64"/>
  <c r="A64"/>
  <c r="AX65"/>
  <c r="U65"/>
  <c r="T65"/>
  <c r="S65"/>
  <c r="P65"/>
  <c r="M65"/>
  <c r="F65"/>
  <c r="A65"/>
  <c r="BL214"/>
  <c r="AX214"/>
  <c r="AK214"/>
  <c r="AJ214"/>
  <c r="U214"/>
  <c r="T214"/>
  <c r="S214"/>
  <c r="P214"/>
  <c r="M214"/>
  <c r="F214"/>
  <c r="A214"/>
  <c r="M66"/>
  <c r="F66"/>
  <c r="A66"/>
  <c r="BL67"/>
  <c r="AX67"/>
  <c r="U67"/>
  <c r="T67"/>
  <c r="S67"/>
  <c r="M67"/>
  <c r="F67"/>
  <c r="A67"/>
  <c r="M215"/>
  <c r="F215"/>
  <c r="A215"/>
  <c r="U216"/>
  <c r="T216"/>
  <c r="S216"/>
  <c r="M216"/>
  <c r="F216"/>
  <c r="A216"/>
  <c r="BL217"/>
  <c r="AK217"/>
  <c r="AJ217"/>
  <c r="U217"/>
  <c r="T217"/>
  <c r="S217"/>
  <c r="P217"/>
  <c r="M217"/>
  <c r="F217"/>
  <c r="A217"/>
  <c r="BL218"/>
  <c r="AX218"/>
  <c r="AK218"/>
  <c r="AJ218"/>
  <c r="U218"/>
  <c r="T218"/>
  <c r="S218"/>
  <c r="P218"/>
  <c r="M218"/>
  <c r="F218"/>
  <c r="A218"/>
  <c r="BL3"/>
  <c r="AX3"/>
  <c r="AK3"/>
  <c r="AJ3"/>
  <c r="U3"/>
  <c r="T3"/>
  <c r="S3"/>
  <c r="P3"/>
  <c r="M3"/>
  <c r="F3"/>
  <c r="A3"/>
  <c r="M219"/>
  <c r="F219"/>
  <c r="A219"/>
  <c r="DD4"/>
  <c r="DC4"/>
  <c r="DB4"/>
  <c r="M4"/>
  <c r="F4"/>
  <c r="A4"/>
  <c r="M68"/>
  <c r="F68"/>
  <c r="A68"/>
  <c r="BL69"/>
  <c r="AX69"/>
  <c r="AK69"/>
  <c r="AJ69"/>
  <c r="U69"/>
  <c r="T69"/>
  <c r="S69"/>
  <c r="P69"/>
  <c r="M69"/>
  <c r="F69"/>
  <c r="A69"/>
  <c r="BL221"/>
  <c r="AX221"/>
  <c r="AK221"/>
  <c r="AJ221"/>
  <c r="U221"/>
  <c r="T221"/>
  <c r="S221"/>
  <c r="P221"/>
  <c r="M221"/>
  <c r="F221"/>
  <c r="A221"/>
  <c r="AX5"/>
  <c r="U5"/>
  <c r="T5"/>
  <c r="S5"/>
  <c r="M5"/>
  <c r="F5"/>
  <c r="A5"/>
  <c r="BL71"/>
  <c r="AX71"/>
  <c r="AK71"/>
  <c r="AJ71"/>
  <c r="U71"/>
  <c r="T71"/>
  <c r="S71"/>
  <c r="P71"/>
  <c r="M71"/>
  <c r="F71"/>
  <c r="A71"/>
  <c r="M6"/>
  <c r="F6"/>
  <c r="A6"/>
  <c r="AK222"/>
  <c r="AJ222"/>
  <c r="U222"/>
  <c r="T222"/>
  <c r="S222"/>
  <c r="P222"/>
  <c r="M222"/>
  <c r="F222"/>
  <c r="A222"/>
  <c r="M223"/>
  <c r="F223"/>
  <c r="A223"/>
  <c r="CL224"/>
  <c r="CK224"/>
  <c r="CJ224"/>
  <c r="CI224"/>
  <c r="CH224"/>
  <c r="CF224"/>
  <c r="CE224"/>
  <c r="CC224"/>
  <c r="CB224"/>
  <c r="M224"/>
  <c r="F224"/>
  <c r="A224"/>
  <c r="BL225"/>
  <c r="AX225"/>
  <c r="AK225"/>
  <c r="AJ225"/>
  <c r="U225"/>
  <c r="T225"/>
  <c r="S225"/>
  <c r="P225"/>
  <c r="M225"/>
  <c r="F225"/>
  <c r="A225"/>
  <c r="U226"/>
  <c r="T226"/>
  <c r="S226"/>
  <c r="P226"/>
  <c r="M226"/>
  <c r="F226"/>
  <c r="A226"/>
  <c r="AX72"/>
  <c r="U72"/>
  <c r="T72"/>
  <c r="S72"/>
  <c r="M72"/>
  <c r="F72"/>
  <c r="A72"/>
  <c r="U73"/>
  <c r="T73"/>
  <c r="S73"/>
  <c r="M73"/>
  <c r="F73"/>
  <c r="A73"/>
  <c r="BL227"/>
  <c r="AX227"/>
  <c r="AK227"/>
  <c r="AJ227"/>
  <c r="U227"/>
  <c r="T227"/>
  <c r="S227"/>
  <c r="P227"/>
  <c r="M227"/>
  <c r="F227"/>
  <c r="A227"/>
  <c r="CP228"/>
  <c r="CO228"/>
  <c r="CN228"/>
  <c r="BL228"/>
  <c r="AK228"/>
  <c r="AJ228"/>
  <c r="U228"/>
  <c r="T228"/>
  <c r="S228"/>
  <c r="P228"/>
  <c r="M228"/>
  <c r="F228"/>
  <c r="A228"/>
  <c r="CP7"/>
  <c r="CO7"/>
  <c r="CN7"/>
  <c r="BL7"/>
  <c r="AK7"/>
  <c r="AJ7"/>
  <c r="U7"/>
  <c r="T7"/>
  <c r="S7"/>
  <c r="P7"/>
  <c r="M7"/>
  <c r="F7"/>
  <c r="A7"/>
  <c r="DD230"/>
  <c r="DC230"/>
  <c r="DB230"/>
  <c r="U230"/>
  <c r="T230"/>
  <c r="S230"/>
  <c r="M230"/>
  <c r="F230"/>
  <c r="A230"/>
  <c r="M231"/>
  <c r="F231"/>
  <c r="A231"/>
  <c r="U8"/>
  <c r="T8"/>
  <c r="S8"/>
  <c r="P8"/>
  <c r="M8"/>
  <c r="F8"/>
  <c r="A8"/>
  <c r="AX9"/>
  <c r="U9"/>
  <c r="T9"/>
  <c r="S9"/>
  <c r="M9"/>
  <c r="F9"/>
  <c r="A9"/>
  <c r="AX75"/>
  <c r="U75"/>
  <c r="T75"/>
  <c r="S75"/>
  <c r="M75"/>
  <c r="F75"/>
  <c r="A75"/>
  <c r="BL232"/>
  <c r="AX232"/>
  <c r="AK232"/>
  <c r="AJ232"/>
  <c r="U232"/>
  <c r="T232"/>
  <c r="S232"/>
  <c r="P232"/>
  <c r="M232"/>
  <c r="F232"/>
  <c r="A232"/>
  <c r="U76"/>
  <c r="T76"/>
  <c r="S76"/>
  <c r="P76"/>
  <c r="M76"/>
  <c r="F76"/>
  <c r="A76"/>
  <c r="M77"/>
  <c r="F77"/>
  <c r="A77"/>
  <c r="AX78"/>
  <c r="U78"/>
  <c r="T78"/>
  <c r="S78"/>
  <c r="M78"/>
  <c r="F78"/>
  <c r="A78"/>
  <c r="BL80"/>
  <c r="AK80"/>
  <c r="AJ80"/>
  <c r="U80"/>
  <c r="T80"/>
  <c r="S80"/>
  <c r="P80"/>
  <c r="M80"/>
  <c r="F80"/>
  <c r="A80"/>
  <c r="M233"/>
  <c r="F233"/>
  <c r="A233"/>
  <c r="DD234"/>
  <c r="DC234"/>
  <c r="DB234"/>
  <c r="U234"/>
  <c r="T234"/>
  <c r="S234"/>
  <c r="M234"/>
  <c r="F234"/>
  <c r="A234"/>
  <c r="BL235"/>
  <c r="AX235"/>
  <c r="AK235"/>
  <c r="AJ235"/>
  <c r="U235"/>
  <c r="T235"/>
  <c r="S235"/>
  <c r="M235"/>
  <c r="F235"/>
  <c r="A235"/>
  <c r="U236"/>
  <c r="T236"/>
  <c r="S236"/>
  <c r="P236"/>
  <c r="M236"/>
  <c r="F236"/>
  <c r="A236"/>
  <c r="BL10"/>
  <c r="AX10"/>
  <c r="AK10"/>
  <c r="AJ10"/>
  <c r="U10"/>
  <c r="T10"/>
  <c r="S10"/>
  <c r="M10"/>
  <c r="F10"/>
  <c r="A10"/>
  <c r="BL237"/>
  <c r="AX237"/>
  <c r="AK237"/>
  <c r="AJ237"/>
  <c r="U237"/>
  <c r="T237"/>
  <c r="S237"/>
  <c r="P237"/>
  <c r="M237"/>
  <c r="F237"/>
  <c r="A237"/>
  <c r="BL238"/>
  <c r="AX238"/>
  <c r="AK238"/>
  <c r="AJ238"/>
  <c r="U238"/>
  <c r="T238"/>
  <c r="S238"/>
  <c r="P238"/>
  <c r="M238"/>
  <c r="F238"/>
  <c r="A238"/>
  <c r="BL239"/>
  <c r="AX239"/>
  <c r="AK239"/>
  <c r="AJ239"/>
  <c r="U239"/>
  <c r="T239"/>
  <c r="S239"/>
  <c r="P239"/>
  <c r="M239"/>
  <c r="F239"/>
  <c r="A239"/>
  <c r="U240"/>
  <c r="T240"/>
  <c r="S240"/>
  <c r="M240"/>
  <c r="F240"/>
  <c r="A240"/>
  <c r="BL241"/>
  <c r="AX241"/>
  <c r="AK241"/>
  <c r="AJ241"/>
  <c r="U241"/>
  <c r="T241"/>
  <c r="S241"/>
  <c r="P241"/>
  <c r="M241"/>
  <c r="F241"/>
  <c r="A241"/>
  <c r="M242"/>
  <c r="F242"/>
  <c r="A242"/>
  <c r="BL243"/>
  <c r="AX243"/>
  <c r="AK243"/>
  <c r="AJ243"/>
  <c r="U243"/>
  <c r="T243"/>
  <c r="S243"/>
  <c r="P243"/>
  <c r="M243"/>
  <c r="F243"/>
  <c r="A243"/>
  <c r="M83"/>
  <c r="F83"/>
  <c r="A83"/>
  <c r="M245"/>
  <c r="F245"/>
  <c r="A245"/>
  <c r="M84"/>
  <c r="F84"/>
  <c r="A84"/>
  <c r="BL247"/>
  <c r="AX247"/>
  <c r="AK247"/>
  <c r="AJ247"/>
  <c r="U247"/>
  <c r="T247"/>
  <c r="S247"/>
  <c r="M247"/>
  <c r="F247"/>
  <c r="A247"/>
  <c r="AX85"/>
  <c r="U85"/>
  <c r="T85"/>
  <c r="S85"/>
  <c r="M85"/>
  <c r="F85"/>
  <c r="A85"/>
  <c r="M248"/>
  <c r="F248"/>
  <c r="A248"/>
  <c r="BL249"/>
  <c r="AX249"/>
  <c r="AK249"/>
  <c r="AJ249"/>
  <c r="U249"/>
  <c r="T249"/>
  <c r="S249"/>
  <c r="P249"/>
  <c r="M249"/>
  <c r="F249"/>
  <c r="A249"/>
  <c r="M250"/>
  <c r="F250"/>
  <c r="A250"/>
  <c r="AK87"/>
  <c r="AJ87"/>
  <c r="U87"/>
  <c r="T87"/>
  <c r="S87"/>
  <c r="P87"/>
  <c r="M87"/>
  <c r="F87"/>
  <c r="A87"/>
  <c r="BL88"/>
  <c r="AX88"/>
  <c r="AK88"/>
  <c r="AJ88"/>
  <c r="U88"/>
  <c r="T88"/>
  <c r="S88"/>
  <c r="P88"/>
  <c r="M88"/>
  <c r="F88"/>
  <c r="A88"/>
  <c r="BL252"/>
  <c r="AX252"/>
  <c r="AK252"/>
  <c r="AJ252"/>
  <c r="U252"/>
  <c r="T252"/>
  <c r="S252"/>
  <c r="P252"/>
  <c r="M252"/>
  <c r="F252"/>
  <c r="A252"/>
  <c r="U253"/>
  <c r="T253"/>
  <c r="S253"/>
  <c r="M253"/>
  <c r="F253"/>
  <c r="A253"/>
  <c r="M254"/>
  <c r="F254"/>
  <c r="A254"/>
  <c r="M255"/>
  <c r="F255"/>
  <c r="A255"/>
  <c r="M89"/>
  <c r="F89"/>
  <c r="A89"/>
  <c r="M90"/>
  <c r="F90"/>
  <c r="A90"/>
  <c r="M258"/>
  <c r="F258"/>
  <c r="A258"/>
  <c r="U259"/>
  <c r="T259"/>
  <c r="S259"/>
  <c r="P259"/>
  <c r="M259"/>
  <c r="F259"/>
  <c r="A259"/>
  <c r="U260"/>
  <c r="T260"/>
  <c r="S260"/>
  <c r="M260"/>
  <c r="F260"/>
  <c r="A260"/>
  <c r="BL92"/>
  <c r="AX92"/>
  <c r="AK92"/>
  <c r="AJ92"/>
  <c r="U92"/>
  <c r="T92"/>
  <c r="S92"/>
  <c r="M92"/>
  <c r="F92"/>
  <c r="A92"/>
  <c r="BL261"/>
  <c r="AX261"/>
  <c r="AK261"/>
  <c r="AJ261"/>
  <c r="U261"/>
  <c r="T261"/>
  <c r="S261"/>
  <c r="P261"/>
  <c r="M261"/>
  <c r="F261"/>
  <c r="A261"/>
  <c r="BL262"/>
  <c r="AX262"/>
  <c r="AK262"/>
  <c r="AJ262"/>
  <c r="U262"/>
  <c r="T262"/>
  <c r="S262"/>
  <c r="P262"/>
  <c r="M262"/>
  <c r="F262"/>
  <c r="A262"/>
  <c r="M263"/>
  <c r="F263"/>
  <c r="A263"/>
  <c r="BL93"/>
  <c r="AX93"/>
  <c r="AK93"/>
  <c r="AJ93"/>
  <c r="U93"/>
  <c r="T93"/>
  <c r="S93"/>
  <c r="P93"/>
  <c r="M93"/>
  <c r="F93"/>
  <c r="A93"/>
  <c r="M264"/>
  <c r="F264"/>
  <c r="A264"/>
  <c r="BL94"/>
  <c r="AX94"/>
  <c r="AK94"/>
  <c r="AJ94"/>
  <c r="U94"/>
  <c r="T94"/>
  <c r="S94"/>
  <c r="P94"/>
  <c r="M94"/>
  <c r="F94"/>
  <c r="A94"/>
  <c r="M95"/>
  <c r="F95"/>
  <c r="A95"/>
  <c r="M96"/>
  <c r="F96"/>
  <c r="A96"/>
  <c r="M266"/>
  <c r="F266"/>
  <c r="A266"/>
  <c r="U267"/>
  <c r="T267"/>
  <c r="S267"/>
  <c r="M267"/>
  <c r="F267"/>
  <c r="A267"/>
  <c r="BL98"/>
  <c r="AX98"/>
  <c r="AK98"/>
  <c r="AJ98"/>
  <c r="U98"/>
  <c r="T98"/>
  <c r="S98"/>
  <c r="P98"/>
  <c r="M98"/>
  <c r="F98"/>
  <c r="A98"/>
  <c r="BL270"/>
  <c r="AX270"/>
  <c r="AK270"/>
  <c r="AJ270"/>
  <c r="U270"/>
  <c r="T270"/>
  <c r="S270"/>
  <c r="P270"/>
  <c r="M270"/>
  <c r="F270"/>
  <c r="A270"/>
  <c r="AX271"/>
  <c r="U271"/>
  <c r="T271"/>
  <c r="S271"/>
  <c r="M271"/>
  <c r="F271"/>
  <c r="A271"/>
  <c r="BL272"/>
  <c r="AX272"/>
  <c r="AK272"/>
  <c r="AJ272"/>
  <c r="U272"/>
  <c r="T272"/>
  <c r="S272"/>
  <c r="P272"/>
  <c r="M272"/>
  <c r="F272"/>
  <c r="A272"/>
  <c r="M99"/>
  <c r="F99"/>
  <c r="A99"/>
  <c r="M273"/>
  <c r="F273"/>
  <c r="A273"/>
  <c r="M275"/>
  <c r="F275"/>
  <c r="A275"/>
  <c r="BL100"/>
  <c r="AX100"/>
  <c r="AK100"/>
  <c r="AJ100"/>
  <c r="U100"/>
  <c r="T100"/>
  <c r="S100"/>
  <c r="P100"/>
  <c r="M100"/>
  <c r="F100"/>
  <c r="A100"/>
  <c r="BL276"/>
  <c r="AX276"/>
  <c r="AK276"/>
  <c r="AJ276"/>
  <c r="U276"/>
  <c r="T276"/>
  <c r="S276"/>
  <c r="P276"/>
  <c r="M276"/>
  <c r="F276"/>
  <c r="A276"/>
  <c r="BL277"/>
  <c r="AX277"/>
  <c r="AK277"/>
  <c r="AJ277"/>
  <c r="U277"/>
  <c r="T277"/>
  <c r="S277"/>
  <c r="P277"/>
  <c r="M277"/>
  <c r="F277"/>
  <c r="A277"/>
  <c r="M278"/>
  <c r="F278"/>
  <c r="A278"/>
  <c r="M279"/>
  <c r="F279"/>
  <c r="A279"/>
  <c r="BL101"/>
  <c r="AX101"/>
  <c r="AK101"/>
  <c r="AJ101"/>
  <c r="U101"/>
  <c r="T101"/>
  <c r="S101"/>
  <c r="P101"/>
  <c r="M101"/>
  <c r="F101"/>
  <c r="A101"/>
  <c r="BL280"/>
  <c r="AX280"/>
  <c r="AK280"/>
  <c r="AJ280"/>
  <c r="U280"/>
  <c r="T280"/>
  <c r="S280"/>
  <c r="P280"/>
  <c r="M280"/>
  <c r="F280"/>
  <c r="A280"/>
  <c r="CP281"/>
  <c r="CO281"/>
  <c r="CN281"/>
  <c r="BL281"/>
  <c r="AX281"/>
  <c r="AK281"/>
  <c r="AJ281"/>
  <c r="U281"/>
  <c r="T281"/>
  <c r="S281"/>
  <c r="P281"/>
  <c r="M281"/>
  <c r="F281"/>
  <c r="A281"/>
  <c r="BL282"/>
  <c r="AX282"/>
  <c r="AK282"/>
  <c r="AJ282"/>
  <c r="U282"/>
  <c r="T282"/>
  <c r="S282"/>
  <c r="P282"/>
  <c r="M282"/>
  <c r="F282"/>
  <c r="A282"/>
  <c r="BL102"/>
  <c r="AX102"/>
  <c r="AK102"/>
  <c r="AJ102"/>
  <c r="U102"/>
  <c r="T102"/>
  <c r="S102"/>
  <c r="P102"/>
  <c r="M102"/>
  <c r="F102"/>
  <c r="A102"/>
  <c r="BL283"/>
  <c r="AX283"/>
  <c r="AK283"/>
  <c r="AJ283"/>
  <c r="U283"/>
  <c r="T283"/>
  <c r="S283"/>
  <c r="P283"/>
  <c r="M283"/>
  <c r="F283"/>
  <c r="A283"/>
  <c r="CP284"/>
  <c r="CO284"/>
  <c r="CN284"/>
  <c r="AK284"/>
  <c r="AJ284"/>
  <c r="U284"/>
  <c r="T284"/>
  <c r="S284"/>
  <c r="P284"/>
  <c r="M284"/>
  <c r="F284"/>
  <c r="A284"/>
  <c r="BL285"/>
  <c r="AX285"/>
  <c r="AK285"/>
  <c r="AJ285"/>
  <c r="U285"/>
  <c r="T285"/>
  <c r="S285"/>
  <c r="P285"/>
  <c r="M285"/>
  <c r="F285"/>
  <c r="A285"/>
  <c r="AX103"/>
  <c r="U103"/>
  <c r="T103"/>
  <c r="S103"/>
  <c r="M103"/>
  <c r="F103"/>
  <c r="A103"/>
  <c r="U104"/>
  <c r="T104"/>
  <c r="S104"/>
  <c r="M104"/>
  <c r="F104"/>
  <c r="A104"/>
  <c r="BL105"/>
  <c r="AX105"/>
  <c r="AK105"/>
  <c r="AJ105"/>
  <c r="U105"/>
  <c r="T105"/>
  <c r="S105"/>
  <c r="P105"/>
  <c r="M105"/>
  <c r="F105"/>
  <c r="A105"/>
  <c r="M106"/>
  <c r="F106"/>
  <c r="A106"/>
  <c r="BL107"/>
  <c r="AK107"/>
  <c r="AJ107"/>
  <c r="U107"/>
  <c r="T107"/>
  <c r="S107"/>
  <c r="P107"/>
  <c r="M107"/>
  <c r="F107"/>
  <c r="A107"/>
  <c r="BL287"/>
  <c r="AX287"/>
  <c r="AK287"/>
  <c r="AJ287"/>
  <c r="U287"/>
  <c r="T287"/>
  <c r="S287"/>
  <c r="P287"/>
  <c r="M287"/>
  <c r="F287"/>
  <c r="A287"/>
  <c r="BL288"/>
  <c r="AX288"/>
  <c r="AK288"/>
  <c r="AJ288"/>
  <c r="U288"/>
  <c r="T288"/>
  <c r="S288"/>
  <c r="P288"/>
  <c r="M288"/>
  <c r="F288"/>
  <c r="A288"/>
  <c r="M109"/>
  <c r="F109"/>
  <c r="A109"/>
  <c r="AX110"/>
  <c r="M110"/>
  <c r="F110"/>
  <c r="A110"/>
  <c r="BL111"/>
  <c r="AX111"/>
  <c r="AK111"/>
  <c r="AJ111"/>
  <c r="U111"/>
  <c r="T111"/>
  <c r="S111"/>
  <c r="P111"/>
  <c r="M111"/>
  <c r="F111"/>
  <c r="A111"/>
  <c r="BL289"/>
  <c r="AX289"/>
  <c r="AK289"/>
  <c r="AJ289"/>
  <c r="U289"/>
  <c r="T289"/>
  <c r="S289"/>
  <c r="P289"/>
  <c r="M289"/>
  <c r="F289"/>
  <c r="A289"/>
  <c r="M113"/>
  <c r="F113"/>
  <c r="A113"/>
  <c r="AX11"/>
  <c r="U11"/>
  <c r="T11"/>
  <c r="S11"/>
  <c r="M11"/>
  <c r="F11"/>
  <c r="A11"/>
  <c r="M114"/>
  <c r="F114"/>
  <c r="A114"/>
  <c r="U290"/>
  <c r="T290"/>
  <c r="S290"/>
  <c r="M290"/>
  <c r="F290"/>
  <c r="A290"/>
  <c r="U115"/>
  <c r="T115"/>
  <c r="S115"/>
  <c r="M115"/>
  <c r="F115"/>
  <c r="A115"/>
  <c r="M291"/>
  <c r="F291"/>
  <c r="A291"/>
  <c r="BL292"/>
  <c r="AX292"/>
  <c r="AK292"/>
  <c r="AJ292"/>
  <c r="U292"/>
  <c r="T292"/>
  <c r="S292"/>
  <c r="P292"/>
  <c r="M292"/>
  <c r="F292"/>
  <c r="A292"/>
  <c r="M116"/>
  <c r="F116"/>
  <c r="A116"/>
  <c r="U117"/>
  <c r="T117"/>
  <c r="S117"/>
  <c r="M117"/>
  <c r="F117"/>
  <c r="A117"/>
  <c r="BL294"/>
  <c r="AX294"/>
  <c r="AK294"/>
  <c r="AJ294"/>
  <c r="U294"/>
  <c r="T294"/>
  <c r="S294"/>
  <c r="P294"/>
  <c r="M294"/>
  <c r="F294"/>
  <c r="A294"/>
  <c r="BL295"/>
  <c r="AX295"/>
  <c r="AK295"/>
  <c r="AJ295"/>
  <c r="U295"/>
  <c r="T295"/>
  <c r="S295"/>
  <c r="P295"/>
  <c r="M295"/>
  <c r="F295"/>
  <c r="A295"/>
  <c r="M296"/>
  <c r="F296"/>
  <c r="A296"/>
  <c r="AX118"/>
  <c r="U118"/>
  <c r="T118"/>
  <c r="S118"/>
  <c r="P118"/>
  <c r="M118"/>
  <c r="F118"/>
  <c r="A118"/>
  <c r="AX12"/>
  <c r="U12"/>
  <c r="T12"/>
  <c r="S12"/>
  <c r="M12"/>
  <c r="F12"/>
  <c r="A12"/>
  <c r="M13"/>
  <c r="F13"/>
  <c r="A13"/>
  <c r="AX297"/>
  <c r="U297"/>
  <c r="T297"/>
  <c r="S297"/>
  <c r="M297"/>
  <c r="F297"/>
  <c r="A297"/>
  <c r="CP119"/>
  <c r="CO119"/>
  <c r="CN119"/>
  <c r="M119"/>
  <c r="F119"/>
  <c r="A119"/>
  <c r="BL120"/>
  <c r="AX120"/>
  <c r="U120"/>
  <c r="T120"/>
  <c r="S120"/>
  <c r="P120"/>
  <c r="M120"/>
  <c r="F120"/>
  <c r="A120"/>
  <c r="BL121"/>
  <c r="AX121"/>
  <c r="AK121"/>
  <c r="AJ121"/>
  <c r="U121"/>
  <c r="T121"/>
  <c r="S121"/>
  <c r="P121"/>
  <c r="M121"/>
  <c r="F121"/>
  <c r="A121"/>
  <c r="BL299"/>
  <c r="AX299"/>
  <c r="AK299"/>
  <c r="AJ299"/>
  <c r="U299"/>
  <c r="T299"/>
  <c r="S299"/>
  <c r="P299"/>
  <c r="M299"/>
  <c r="F299"/>
  <c r="A299"/>
  <c r="BL122"/>
  <c r="AX122"/>
  <c r="AK122"/>
  <c r="AJ122"/>
  <c r="U122"/>
  <c r="T122"/>
  <c r="S122"/>
  <c r="P122"/>
  <c r="M122"/>
  <c r="F122"/>
  <c r="A122"/>
  <c r="BL123"/>
  <c r="AX123"/>
  <c r="AK123"/>
  <c r="AJ123"/>
  <c r="U123"/>
  <c r="T123"/>
  <c r="S123"/>
  <c r="P123"/>
  <c r="M123"/>
  <c r="F123"/>
  <c r="A123"/>
  <c r="M124"/>
  <c r="F124"/>
  <c r="A124"/>
  <c r="AX300"/>
  <c r="U300"/>
  <c r="T300"/>
  <c r="S300"/>
  <c r="M300"/>
  <c r="F300"/>
  <c r="A300"/>
  <c r="BL125"/>
  <c r="AX125"/>
  <c r="AK125"/>
  <c r="AJ125"/>
  <c r="U125"/>
  <c r="T125"/>
  <c r="S125"/>
  <c r="P125"/>
  <c r="M125"/>
  <c r="F125"/>
  <c r="A125"/>
  <c r="BL301"/>
  <c r="AX301"/>
  <c r="U301"/>
  <c r="T301"/>
  <c r="S301"/>
  <c r="P301"/>
  <c r="M301"/>
  <c r="F301"/>
  <c r="A301"/>
  <c r="M302"/>
  <c r="F302"/>
  <c r="A302"/>
  <c r="CP304"/>
  <c r="CO304"/>
  <c r="CN304"/>
  <c r="M304"/>
  <c r="F304"/>
  <c r="A304"/>
  <c r="BL305"/>
  <c r="AX305"/>
  <c r="AK305"/>
  <c r="AJ305"/>
  <c r="U305"/>
  <c r="T305"/>
  <c r="S305"/>
  <c r="P305"/>
  <c r="M305"/>
  <c r="F305"/>
  <c r="A305"/>
  <c r="M306"/>
  <c r="F306"/>
  <c r="A306"/>
  <c r="BL126"/>
  <c r="AX126"/>
  <c r="U126"/>
  <c r="T126"/>
  <c r="S126"/>
  <c r="P126"/>
  <c r="M126"/>
  <c r="F126"/>
  <c r="A126"/>
  <c r="BL307"/>
  <c r="AX307"/>
  <c r="AK307"/>
  <c r="AJ307"/>
  <c r="U307"/>
  <c r="T307"/>
  <c r="S307"/>
  <c r="P307"/>
  <c r="M307"/>
  <c r="F307"/>
  <c r="A307"/>
  <c r="BL309"/>
  <c r="AX309"/>
  <c r="AK309"/>
  <c r="AJ309"/>
  <c r="U309"/>
  <c r="T309"/>
  <c r="S309"/>
  <c r="P309"/>
  <c r="M309"/>
  <c r="F309"/>
  <c r="A309"/>
  <c r="M310"/>
  <c r="F310"/>
  <c r="A310"/>
  <c r="AK311"/>
  <c r="AJ311"/>
  <c r="U311"/>
  <c r="T311"/>
  <c r="S311"/>
  <c r="P311"/>
  <c r="M311"/>
  <c r="F311"/>
  <c r="A311"/>
  <c r="BL313"/>
  <c r="AX313"/>
  <c r="AK313"/>
  <c r="AJ313"/>
  <c r="U313"/>
  <c r="T313"/>
  <c r="S313"/>
  <c r="P313"/>
  <c r="M313"/>
  <c r="F313"/>
  <c r="A313"/>
  <c r="U314"/>
  <c r="T314"/>
  <c r="S314"/>
  <c r="P314"/>
  <c r="M314"/>
  <c r="F314"/>
  <c r="A314"/>
  <c r="BL127"/>
  <c r="AX127"/>
  <c r="AK127"/>
  <c r="AJ127"/>
  <c r="U127"/>
  <c r="T127"/>
  <c r="S127"/>
  <c r="P127"/>
  <c r="M127"/>
  <c r="F127"/>
  <c r="A127"/>
  <c r="BL128"/>
  <c r="AX128"/>
  <c r="U128"/>
  <c r="T128"/>
  <c r="S128"/>
  <c r="P128"/>
  <c r="M128"/>
  <c r="F128"/>
  <c r="A128"/>
  <c r="AX315"/>
  <c r="U315"/>
  <c r="T315"/>
  <c r="S315"/>
  <c r="P315"/>
  <c r="M315"/>
  <c r="F315"/>
  <c r="A315"/>
  <c r="BL316"/>
  <c r="AX316"/>
  <c r="AK316"/>
  <c r="AJ316"/>
  <c r="U316"/>
  <c r="T316"/>
  <c r="S316"/>
  <c r="P316"/>
  <c r="M316"/>
  <c r="F316"/>
  <c r="A316"/>
  <c r="DD129"/>
  <c r="DC129"/>
  <c r="DB129"/>
  <c r="AX129"/>
  <c r="U129"/>
  <c r="T129"/>
  <c r="S129"/>
  <c r="P129"/>
  <c r="M129"/>
  <c r="F129"/>
  <c r="A129"/>
  <c r="BL130"/>
  <c r="AX130"/>
  <c r="AK130"/>
  <c r="AJ130"/>
  <c r="U130"/>
  <c r="T130"/>
  <c r="S130"/>
  <c r="P130"/>
  <c r="M130"/>
  <c r="F130"/>
  <c r="A130"/>
  <c r="BL131"/>
  <c r="AK131"/>
  <c r="AJ131"/>
  <c r="U131"/>
  <c r="T131"/>
  <c r="S131"/>
  <c r="P131"/>
  <c r="M131"/>
  <c r="F131"/>
  <c r="A131"/>
  <c r="M319"/>
  <c r="F319"/>
  <c r="A319"/>
  <c r="AX320"/>
  <c r="U320"/>
  <c r="T320"/>
  <c r="S320"/>
  <c r="P320"/>
  <c r="M320"/>
  <c r="F320"/>
  <c r="A320"/>
  <c r="M132"/>
  <c r="F132"/>
  <c r="A132"/>
  <c r="BL133"/>
  <c r="AX133"/>
  <c r="AK133"/>
  <c r="AJ133"/>
  <c r="U133"/>
  <c r="T133"/>
  <c r="S133"/>
  <c r="P133"/>
  <c r="M133"/>
  <c r="F133"/>
  <c r="A133"/>
  <c r="M324"/>
  <c r="F324"/>
  <c r="A324"/>
  <c r="BL325"/>
  <c r="U325"/>
  <c r="T325"/>
  <c r="S325"/>
  <c r="M325"/>
  <c r="F325"/>
  <c r="A325"/>
  <c r="BL326"/>
  <c r="AX326"/>
  <c r="AK326"/>
  <c r="AJ326"/>
  <c r="U326"/>
  <c r="T326"/>
  <c r="S326"/>
  <c r="P326"/>
  <c r="M326"/>
  <c r="F326"/>
  <c r="A326"/>
  <c r="M135"/>
  <c r="F135"/>
  <c r="A135"/>
  <c r="BL327"/>
  <c r="AX327"/>
  <c r="AK327"/>
  <c r="AJ327"/>
  <c r="U327"/>
  <c r="T327"/>
  <c r="S327"/>
  <c r="P327"/>
  <c r="M327"/>
  <c r="F327"/>
  <c r="A327"/>
  <c r="BL329"/>
  <c r="AX329"/>
  <c r="AK329"/>
  <c r="AJ329"/>
  <c r="U329"/>
  <c r="T329"/>
  <c r="S329"/>
  <c r="P329"/>
  <c r="M329"/>
  <c r="F329"/>
  <c r="A329"/>
  <c r="BL330"/>
  <c r="AX330"/>
  <c r="U330"/>
  <c r="T330"/>
  <c r="S330"/>
  <c r="P330"/>
  <c r="M330"/>
  <c r="F330"/>
  <c r="A330"/>
  <c r="AX332"/>
  <c r="U332"/>
  <c r="T332"/>
  <c r="S332"/>
  <c r="M332"/>
  <c r="F332"/>
  <c r="A332"/>
  <c r="AX138"/>
  <c r="U138"/>
  <c r="T138"/>
  <c r="S138"/>
  <c r="M138"/>
  <c r="F138"/>
  <c r="A138"/>
  <c r="BL139"/>
  <c r="AX139"/>
  <c r="AK139"/>
  <c r="AJ139"/>
  <c r="U139"/>
  <c r="T139"/>
  <c r="S139"/>
  <c r="P139"/>
  <c r="M139"/>
  <c r="F139"/>
  <c r="A139"/>
  <c r="BL140"/>
  <c r="AX140"/>
  <c r="AK140"/>
  <c r="AJ140"/>
  <c r="U140"/>
  <c r="T140"/>
  <c r="S140"/>
  <c r="P140"/>
  <c r="M140"/>
  <c r="F140"/>
  <c r="A140"/>
  <c r="M333"/>
  <c r="F333"/>
  <c r="A333"/>
  <c r="BL334"/>
  <c r="AX334"/>
  <c r="AK334"/>
  <c r="AJ334"/>
  <c r="U334"/>
  <c r="T334"/>
  <c r="S334"/>
  <c r="P334"/>
  <c r="M334"/>
  <c r="F334"/>
  <c r="A334"/>
  <c r="M335"/>
  <c r="F335"/>
  <c r="A335"/>
  <c r="M336"/>
  <c r="F336"/>
  <c r="A336"/>
  <c r="BL338"/>
  <c r="AX338"/>
  <c r="U338"/>
  <c r="T338"/>
  <c r="S338"/>
  <c r="M338"/>
  <c r="F338"/>
  <c r="A338"/>
  <c r="BL143"/>
  <c r="AX143"/>
  <c r="AK143"/>
  <c r="AJ143"/>
  <c r="U143"/>
  <c r="T143"/>
  <c r="S143"/>
  <c r="P143"/>
  <c r="M143"/>
  <c r="F143"/>
  <c r="A143"/>
  <c r="AX144"/>
  <c r="U144"/>
  <c r="T144"/>
  <c r="S144"/>
  <c r="P144"/>
  <c r="M144"/>
  <c r="F144"/>
  <c r="A144"/>
  <c r="AX341"/>
  <c r="U341"/>
  <c r="T341"/>
  <c r="S341"/>
  <c r="M341"/>
  <c r="F341"/>
  <c r="A341"/>
  <c r="BL342"/>
  <c r="AX342"/>
  <c r="AK342"/>
  <c r="AJ342"/>
  <c r="U342"/>
  <c r="T342"/>
  <c r="S342"/>
  <c r="P342"/>
  <c r="M342"/>
  <c r="F342"/>
  <c r="A342"/>
  <c r="M145"/>
  <c r="F145"/>
  <c r="A145"/>
  <c r="BL343"/>
  <c r="AX343"/>
  <c r="AK343"/>
  <c r="AJ343"/>
  <c r="U343"/>
  <c r="T343"/>
  <c r="S343"/>
  <c r="P343"/>
  <c r="M343"/>
  <c r="F343"/>
  <c r="A343"/>
  <c r="M146"/>
  <c r="F146"/>
  <c r="A146"/>
  <c r="BL345"/>
  <c r="AX345"/>
  <c r="AK345"/>
  <c r="AJ345"/>
  <c r="U345"/>
  <c r="T345"/>
  <c r="S345"/>
  <c r="P345"/>
  <c r="M345"/>
  <c r="F345"/>
  <c r="A345"/>
  <c r="M147"/>
  <c r="F147"/>
  <c r="A147"/>
  <c r="BL347"/>
  <c r="AX347"/>
  <c r="AK347"/>
  <c r="AJ347"/>
  <c r="U347"/>
  <c r="T347"/>
  <c r="S347"/>
  <c r="P347"/>
  <c r="M347"/>
  <c r="F347"/>
  <c r="A347"/>
  <c r="M14"/>
  <c r="F14"/>
  <c r="A14"/>
  <c r="DD148"/>
  <c r="DC148"/>
  <c r="DB148"/>
  <c r="CP148"/>
  <c r="CO148"/>
  <c r="CN148"/>
  <c r="BL148"/>
  <c r="AX148"/>
  <c r="AK148"/>
  <c r="AJ148"/>
  <c r="U148"/>
  <c r="T148"/>
  <c r="S148"/>
  <c r="P148"/>
  <c r="M148"/>
  <c r="F148"/>
  <c r="A148"/>
  <c r="BL348"/>
  <c r="AX348"/>
  <c r="AK348"/>
  <c r="AJ348"/>
  <c r="U348"/>
  <c r="T348"/>
  <c r="S348"/>
  <c r="P348"/>
  <c r="M348"/>
  <c r="F348"/>
  <c r="A348"/>
  <c r="BL349"/>
  <c r="AX349"/>
  <c r="AK349"/>
  <c r="AJ349"/>
  <c r="U349"/>
  <c r="T349"/>
  <c r="S349"/>
  <c r="P349"/>
  <c r="M349"/>
  <c r="F349"/>
  <c r="A349"/>
  <c r="M350"/>
  <c r="F350"/>
  <c r="A350"/>
  <c r="M351"/>
  <c r="F351"/>
  <c r="A351"/>
  <c r="M352"/>
  <c r="F352"/>
  <c r="A352"/>
  <c r="BL151"/>
  <c r="AX151"/>
  <c r="AK151"/>
  <c r="AJ151"/>
  <c r="U151"/>
  <c r="T151"/>
  <c r="S151"/>
  <c r="P151"/>
  <c r="M151"/>
  <c r="F151"/>
  <c r="A151"/>
  <c r="M354"/>
  <c r="F354"/>
  <c r="A354"/>
  <c r="M356"/>
  <c r="F356"/>
  <c r="A356"/>
  <c r="M15"/>
  <c r="F15"/>
  <c r="A15"/>
  <c r="M357"/>
  <c r="F357"/>
  <c r="A357"/>
  <c r="BL358"/>
  <c r="AX358"/>
  <c r="AK358"/>
  <c r="AJ358"/>
  <c r="U358"/>
  <c r="T358"/>
  <c r="S358"/>
  <c r="P358"/>
  <c r="M358"/>
  <c r="F358"/>
  <c r="A358"/>
  <c r="M359"/>
  <c r="F359"/>
  <c r="A359"/>
  <c r="BL16"/>
  <c r="AX16"/>
  <c r="AK16"/>
  <c r="AJ16"/>
  <c r="U16"/>
  <c r="T16"/>
  <c r="S16"/>
  <c r="P16"/>
  <c r="M16"/>
  <c r="F16"/>
  <c r="A16"/>
  <c r="AX17"/>
  <c r="U17"/>
  <c r="T17"/>
  <c r="S17"/>
  <c r="M17"/>
  <c r="F17"/>
  <c r="A17"/>
  <c r="M18"/>
  <c r="F18"/>
  <c r="A18"/>
  <c r="BL153"/>
  <c r="AX153"/>
  <c r="AK153"/>
  <c r="AJ153"/>
  <c r="U153"/>
  <c r="T153"/>
  <c r="S153"/>
  <c r="P153"/>
  <c r="M153"/>
  <c r="F153"/>
  <c r="A153"/>
  <c r="M20"/>
  <c r="F20"/>
  <c r="A20"/>
  <c r="BL155"/>
  <c r="AX155"/>
  <c r="U155"/>
  <c r="T155"/>
  <c r="S155"/>
  <c r="P155"/>
  <c r="M155"/>
  <c r="F155"/>
  <c r="A155"/>
  <c r="AX21"/>
  <c r="U21"/>
  <c r="T21"/>
  <c r="S21"/>
  <c r="M21"/>
  <c r="F21"/>
  <c r="A21"/>
  <c r="M156"/>
  <c r="F156"/>
  <c r="A156"/>
  <c r="U157"/>
  <c r="T157"/>
  <c r="S157"/>
  <c r="M157"/>
  <c r="F157"/>
  <c r="A157"/>
  <c r="BL23"/>
  <c r="AX23"/>
  <c r="AK23"/>
  <c r="AJ23"/>
  <c r="U23"/>
  <c r="T23"/>
  <c r="S23"/>
  <c r="P23"/>
  <c r="M23"/>
  <c r="F23"/>
  <c r="A23"/>
  <c r="BL158"/>
  <c r="AX158"/>
  <c r="AK158"/>
  <c r="AJ158"/>
  <c r="U158"/>
  <c r="T158"/>
  <c r="S158"/>
  <c r="P158"/>
  <c r="M158"/>
  <c r="F158"/>
  <c r="A158"/>
  <c r="BL159"/>
  <c r="AX159"/>
  <c r="AK159"/>
  <c r="AJ159"/>
  <c r="U159"/>
  <c r="T159"/>
  <c r="S159"/>
  <c r="P159"/>
  <c r="M159"/>
  <c r="F159"/>
  <c r="A159"/>
  <c r="BL24"/>
  <c r="AX24"/>
  <c r="U24"/>
  <c r="T24"/>
  <c r="S24"/>
  <c r="M24"/>
  <c r="F24"/>
  <c r="A24"/>
  <c r="BL160"/>
  <c r="AX160"/>
  <c r="AK160"/>
  <c r="AJ160"/>
  <c r="U160"/>
  <c r="T160"/>
  <c r="S160"/>
  <c r="P160"/>
  <c r="M160"/>
  <c r="F160"/>
  <c r="A160"/>
  <c r="BL162"/>
  <c r="AX162"/>
  <c r="AK162"/>
  <c r="AJ162"/>
  <c r="U162"/>
  <c r="T162"/>
  <c r="S162"/>
  <c r="P162"/>
  <c r="M162"/>
  <c r="F162"/>
  <c r="A162"/>
  <c r="BL163"/>
  <c r="AX163"/>
  <c r="AK163"/>
  <c r="AJ163"/>
  <c r="U163"/>
  <c r="T163"/>
  <c r="S163"/>
  <c r="P163"/>
  <c r="M163"/>
  <c r="F163"/>
  <c r="A163"/>
  <c r="BL164"/>
  <c r="AX164"/>
  <c r="AK164"/>
  <c r="AJ164"/>
  <c r="U164"/>
  <c r="T164"/>
  <c r="S164"/>
  <c r="P164"/>
  <c r="M164"/>
  <c r="F164"/>
  <c r="A164"/>
  <c r="BL191"/>
  <c r="AX191"/>
  <c r="AK191"/>
  <c r="AJ191"/>
  <c r="U191"/>
  <c r="T191"/>
  <c r="S191"/>
  <c r="P191"/>
  <c r="M191"/>
  <c r="F191"/>
  <c r="A191"/>
  <c r="M197"/>
  <c r="F197"/>
  <c r="A197"/>
  <c r="M50"/>
  <c r="F50"/>
  <c r="A50"/>
  <c r="AX202"/>
  <c r="U202"/>
  <c r="T202"/>
  <c r="S202"/>
  <c r="M202"/>
  <c r="F202"/>
  <c r="A202"/>
  <c r="BL209"/>
  <c r="AX209"/>
  <c r="AK209"/>
  <c r="AJ209"/>
  <c r="U209"/>
  <c r="T209"/>
  <c r="S209"/>
  <c r="P209"/>
  <c r="M209"/>
  <c r="F209"/>
  <c r="A209"/>
  <c r="BL213"/>
  <c r="AX213"/>
  <c r="U213"/>
  <c r="T213"/>
  <c r="S213"/>
  <c r="P213"/>
  <c r="M213"/>
  <c r="F213"/>
  <c r="A213"/>
  <c r="M70"/>
  <c r="F70"/>
  <c r="A70"/>
  <c r="BL81"/>
  <c r="AX81"/>
  <c r="AK81"/>
  <c r="AJ81"/>
  <c r="U81"/>
  <c r="T81"/>
  <c r="S81"/>
  <c r="P81"/>
  <c r="M81"/>
  <c r="F81"/>
  <c r="A81"/>
  <c r="BL246"/>
  <c r="AX246"/>
  <c r="AK246"/>
  <c r="AJ246"/>
  <c r="U246"/>
  <c r="T246"/>
  <c r="S246"/>
  <c r="P246"/>
  <c r="M246"/>
  <c r="F246"/>
  <c r="A246"/>
  <c r="BL86"/>
  <c r="AX86"/>
  <c r="AK86"/>
  <c r="AJ86"/>
  <c r="U86"/>
  <c r="T86"/>
  <c r="S86"/>
  <c r="P86"/>
  <c r="M86"/>
  <c r="F86"/>
  <c r="A86"/>
  <c r="M257"/>
  <c r="F257"/>
  <c r="A257"/>
  <c r="M265"/>
  <c r="F265"/>
  <c r="A265"/>
  <c r="M268"/>
  <c r="F268"/>
  <c r="A268"/>
  <c r="M274"/>
  <c r="F274"/>
  <c r="A274"/>
  <c r="M286"/>
  <c r="F286"/>
  <c r="A286"/>
  <c r="BL298"/>
  <c r="AX298"/>
  <c r="AK298"/>
  <c r="AJ298"/>
  <c r="U298"/>
  <c r="T298"/>
  <c r="S298"/>
  <c r="P298"/>
  <c r="M298"/>
  <c r="F298"/>
  <c r="A298"/>
  <c r="BL308"/>
  <c r="AX308"/>
  <c r="AK308"/>
  <c r="AJ308"/>
  <c r="U308"/>
  <c r="T308"/>
  <c r="S308"/>
  <c r="P308"/>
  <c r="M308"/>
  <c r="F308"/>
  <c r="A308"/>
  <c r="U321"/>
  <c r="T321"/>
  <c r="S321"/>
  <c r="M321"/>
  <c r="F321"/>
  <c r="A321"/>
  <c r="M137"/>
  <c r="F137"/>
  <c r="A137"/>
  <c r="U141"/>
  <c r="T141"/>
  <c r="S141"/>
  <c r="M141"/>
  <c r="F141"/>
  <c r="A141"/>
  <c r="BL142"/>
  <c r="AX142"/>
  <c r="AK142"/>
  <c r="AJ142"/>
  <c r="U142"/>
  <c r="T142"/>
  <c r="S142"/>
  <c r="P142"/>
  <c r="M142"/>
  <c r="F142"/>
  <c r="A142"/>
  <c r="M340"/>
  <c r="F340"/>
  <c r="A340"/>
  <c r="BL344"/>
  <c r="AX344"/>
  <c r="AK344"/>
  <c r="AJ344"/>
  <c r="U344"/>
  <c r="T344"/>
  <c r="S344"/>
  <c r="P344"/>
  <c r="M344"/>
  <c r="F344"/>
  <c r="A344"/>
  <c r="M346"/>
  <c r="F346"/>
  <c r="A346"/>
  <c r="BL150"/>
  <c r="AX150"/>
  <c r="AK150"/>
  <c r="AJ150"/>
  <c r="U150"/>
  <c r="T150"/>
  <c r="S150"/>
  <c r="P150"/>
  <c r="M150"/>
  <c r="F150"/>
  <c r="A150"/>
  <c r="BL355"/>
  <c r="AX355"/>
  <c r="AK355"/>
  <c r="AJ355"/>
  <c r="U355"/>
  <c r="T355"/>
  <c r="S355"/>
  <c r="P355"/>
  <c r="M355"/>
  <c r="F355"/>
  <c r="A355"/>
  <c r="U360"/>
  <c r="T360"/>
  <c r="S360"/>
  <c r="M360"/>
  <c r="F360"/>
  <c r="A360"/>
  <c r="BL19"/>
  <c r="AX19"/>
  <c r="AK19"/>
  <c r="AJ19"/>
  <c r="U19"/>
  <c r="T19"/>
  <c r="S19"/>
  <c r="P19"/>
  <c r="M19"/>
  <c r="F19"/>
  <c r="A19"/>
  <c r="BL22"/>
  <c r="AX22"/>
  <c r="AK22"/>
  <c r="AJ22"/>
  <c r="U22"/>
  <c r="T22"/>
  <c r="S22"/>
  <c r="P22"/>
  <c r="M22"/>
  <c r="F22"/>
  <c r="A22"/>
  <c r="M165"/>
  <c r="F165"/>
  <c r="A165"/>
  <c r="BL203"/>
  <c r="AX203"/>
  <c r="AK203"/>
  <c r="AJ203"/>
  <c r="U203"/>
  <c r="T203"/>
  <c r="S203"/>
  <c r="P203"/>
  <c r="M203"/>
  <c r="F203"/>
  <c r="A203"/>
  <c r="N371" i="1"/>
  <c r="M371"/>
  <c r="N370"/>
  <c r="M370"/>
  <c r="N369"/>
  <c r="M369"/>
  <c r="N367"/>
  <c r="M367"/>
  <c r="N366"/>
  <c r="M366"/>
  <c r="N365"/>
  <c r="M365"/>
  <c r="N364"/>
  <c r="M364"/>
  <c r="N363"/>
  <c r="M363"/>
  <c r="N362"/>
  <c r="M362"/>
  <c r="N361"/>
  <c r="M361"/>
  <c r="N360"/>
  <c r="M360"/>
  <c r="N359"/>
  <c r="M359"/>
  <c r="N358"/>
  <c r="M358"/>
  <c r="N357"/>
  <c r="M357"/>
  <c r="N356"/>
  <c r="M356"/>
  <c r="N355"/>
  <c r="M355"/>
  <c r="N354"/>
  <c r="M354"/>
  <c r="N353"/>
  <c r="M353"/>
  <c r="N352"/>
  <c r="M352"/>
  <c r="N351"/>
  <c r="M351"/>
  <c r="N350"/>
  <c r="M350"/>
  <c r="N349"/>
  <c r="M349"/>
  <c r="N348"/>
  <c r="M348"/>
  <c r="N347"/>
  <c r="M347"/>
  <c r="N346"/>
  <c r="M346"/>
  <c r="N345"/>
  <c r="M345"/>
  <c r="N344"/>
  <c r="M344"/>
  <c r="N343"/>
  <c r="M343"/>
  <c r="N341"/>
  <c r="M341"/>
  <c r="N340"/>
  <c r="M340"/>
  <c r="N339"/>
  <c r="M339"/>
  <c r="N338"/>
  <c r="M338"/>
  <c r="N337"/>
  <c r="M337"/>
  <c r="N336"/>
  <c r="M336"/>
  <c r="N335"/>
  <c r="M335"/>
  <c r="N334"/>
  <c r="M334"/>
  <c r="N333"/>
  <c r="M333"/>
  <c r="N332"/>
  <c r="M332"/>
  <c r="N331"/>
  <c r="M331"/>
  <c r="N330"/>
  <c r="M330"/>
  <c r="N329"/>
  <c r="M329"/>
  <c r="N328"/>
  <c r="M328"/>
  <c r="N327"/>
  <c r="M327"/>
  <c r="N326"/>
  <c r="M326"/>
  <c r="N325"/>
  <c r="M325"/>
  <c r="N324"/>
  <c r="M324"/>
  <c r="N323"/>
  <c r="M323"/>
  <c r="N322"/>
  <c r="M322"/>
  <c r="N321"/>
  <c r="M321"/>
  <c r="N320"/>
  <c r="M320"/>
  <c r="N319"/>
  <c r="M319"/>
  <c r="N318"/>
  <c r="M318"/>
  <c r="N317"/>
  <c r="M317"/>
  <c r="N316"/>
  <c r="M316"/>
  <c r="N315"/>
  <c r="M315"/>
  <c r="N314"/>
  <c r="M314"/>
  <c r="N313"/>
  <c r="M313"/>
  <c r="N312"/>
  <c r="M312"/>
  <c r="N311"/>
  <c r="M311"/>
  <c r="N310"/>
  <c r="M310"/>
  <c r="N308"/>
  <c r="M308"/>
  <c r="N307"/>
  <c r="M307"/>
  <c r="N306"/>
  <c r="M306"/>
  <c r="N305"/>
  <c r="M305"/>
  <c r="N304"/>
  <c r="M304"/>
  <c r="N303"/>
  <c r="M303"/>
  <c r="N302"/>
  <c r="M302"/>
  <c r="N301"/>
  <c r="M301"/>
  <c r="N300"/>
  <c r="M300"/>
  <c r="N299"/>
  <c r="M299"/>
  <c r="N298"/>
  <c r="M298"/>
  <c r="N297"/>
  <c r="M297"/>
  <c r="N296"/>
  <c r="M296"/>
  <c r="N295"/>
  <c r="M295"/>
  <c r="N294"/>
  <c r="M294"/>
  <c r="N293"/>
  <c r="M293"/>
  <c r="N292"/>
  <c r="M292"/>
  <c r="N291"/>
  <c r="M291"/>
  <c r="N290"/>
  <c r="M290"/>
  <c r="N289"/>
  <c r="M289"/>
  <c r="N288"/>
  <c r="M288"/>
  <c r="N287"/>
  <c r="M287"/>
  <c r="N286"/>
  <c r="M286"/>
  <c r="N285"/>
  <c r="M285"/>
  <c r="N284"/>
  <c r="M284"/>
  <c r="N283"/>
  <c r="M283"/>
  <c r="N282"/>
  <c r="M282"/>
  <c r="N281"/>
  <c r="M281"/>
  <c r="N280"/>
  <c r="M280"/>
  <c r="N279"/>
  <c r="M279"/>
  <c r="N278"/>
  <c r="M278"/>
  <c r="N277"/>
  <c r="M277"/>
  <c r="N276"/>
  <c r="M276"/>
  <c r="N275"/>
  <c r="M275"/>
  <c r="N274"/>
  <c r="M274"/>
  <c r="N273"/>
  <c r="M273"/>
  <c r="N272"/>
  <c r="M272"/>
  <c r="N271"/>
  <c r="M271"/>
  <c r="N270"/>
  <c r="M270"/>
  <c r="N269"/>
  <c r="M269"/>
  <c r="N268"/>
  <c r="M268"/>
  <c r="N267"/>
  <c r="M267"/>
  <c r="N266"/>
  <c r="M266"/>
  <c r="N265"/>
  <c r="M265"/>
  <c r="N264"/>
  <c r="M264"/>
  <c r="N263"/>
  <c r="M263"/>
  <c r="N262"/>
  <c r="M262"/>
  <c r="N261"/>
  <c r="M261"/>
  <c r="N260"/>
  <c r="M260"/>
  <c r="N259"/>
  <c r="M259"/>
  <c r="N258"/>
  <c r="M258"/>
  <c r="N257"/>
  <c r="M257"/>
  <c r="N256"/>
  <c r="M256"/>
  <c r="N255"/>
  <c r="M255"/>
  <c r="N254"/>
  <c r="M254"/>
  <c r="N253"/>
  <c r="M253"/>
  <c r="N252"/>
  <c r="M252"/>
  <c r="N251"/>
  <c r="M251"/>
  <c r="N250"/>
  <c r="M250"/>
  <c r="N249"/>
  <c r="M249"/>
  <c r="N248"/>
  <c r="M248"/>
  <c r="N247"/>
  <c r="M247"/>
  <c r="N246"/>
  <c r="M246"/>
  <c r="N245"/>
  <c r="M245"/>
  <c r="N244"/>
  <c r="M244"/>
  <c r="N243"/>
  <c r="M243"/>
  <c r="N242"/>
  <c r="M242"/>
  <c r="N241"/>
  <c r="M241"/>
  <c r="N240"/>
  <c r="M240"/>
  <c r="N239"/>
  <c r="M239"/>
  <c r="N238"/>
  <c r="M238"/>
  <c r="N237"/>
  <c r="M237"/>
  <c r="N236"/>
  <c r="M236"/>
  <c r="N235"/>
  <c r="M235"/>
  <c r="N234"/>
  <c r="M234"/>
  <c r="N233"/>
  <c r="M233"/>
  <c r="N232"/>
  <c r="M232"/>
  <c r="N231"/>
  <c r="M231"/>
  <c r="N230"/>
  <c r="M230"/>
  <c r="N229"/>
  <c r="M229"/>
  <c r="N228"/>
  <c r="M228"/>
  <c r="N227"/>
  <c r="M227"/>
  <c r="N226"/>
  <c r="M226"/>
  <c r="N225"/>
  <c r="M225"/>
  <c r="N224"/>
  <c r="M224"/>
  <c r="N223"/>
  <c r="M223"/>
  <c r="N222"/>
  <c r="M222"/>
  <c r="N221"/>
  <c r="M221"/>
  <c r="N220"/>
  <c r="M220"/>
  <c r="N219"/>
  <c r="M219"/>
  <c r="N218"/>
  <c r="M218"/>
  <c r="N217"/>
  <c r="M217"/>
  <c r="N216"/>
  <c r="M216"/>
  <c r="N215"/>
  <c r="M215"/>
  <c r="N214"/>
  <c r="M214"/>
  <c r="N213"/>
  <c r="M213"/>
  <c r="N212"/>
  <c r="M212"/>
  <c r="N211"/>
  <c r="M211"/>
  <c r="N210"/>
  <c r="M210"/>
  <c r="N209"/>
  <c r="M209"/>
  <c r="N208"/>
  <c r="M208"/>
  <c r="N207"/>
  <c r="M207"/>
  <c r="N206"/>
  <c r="M206"/>
  <c r="N205"/>
  <c r="M205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N123"/>
  <c r="M123"/>
  <c r="N122"/>
  <c r="M122"/>
  <c r="N121"/>
  <c r="M121"/>
  <c r="N120"/>
  <c r="M120"/>
  <c r="N119"/>
  <c r="M119"/>
  <c r="N118"/>
  <c r="M118"/>
  <c r="N117"/>
  <c r="M117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3"/>
  <c r="M3"/>
  <c r="N2"/>
  <c r="M2"/>
  <c r="Q371"/>
  <c r="Q370"/>
  <c r="Q367"/>
  <c r="Q364"/>
  <c r="Q363"/>
  <c r="Q362"/>
  <c r="Q358"/>
  <c r="Q357"/>
  <c r="Q356"/>
  <c r="Q355"/>
  <c r="Q352"/>
  <c r="Q351"/>
  <c r="Q350"/>
  <c r="Q349"/>
  <c r="Q348"/>
  <c r="Q347"/>
  <c r="Q344"/>
  <c r="Q341"/>
  <c r="Q340"/>
  <c r="Q338"/>
  <c r="Q335"/>
  <c r="Q334"/>
  <c r="Q331"/>
  <c r="Q328"/>
  <c r="Q326"/>
  <c r="Q325"/>
  <c r="Q317"/>
  <c r="Q313"/>
  <c r="Q311"/>
  <c r="Q306"/>
  <c r="Q305"/>
  <c r="Q303"/>
  <c r="Q302"/>
  <c r="Q300"/>
  <c r="Q299"/>
  <c r="Q298"/>
  <c r="Q297"/>
  <c r="Q296"/>
  <c r="Q291"/>
  <c r="Q289"/>
  <c r="Q288"/>
  <c r="Q286"/>
  <c r="Q285"/>
  <c r="Q281"/>
  <c r="Q279"/>
  <c r="Q278"/>
  <c r="Q274"/>
  <c r="Q273"/>
  <c r="Q271"/>
  <c r="Q269"/>
  <c r="Q268"/>
  <c r="Q267"/>
  <c r="Q266"/>
  <c r="Q265"/>
  <c r="Q262"/>
  <c r="Q260"/>
  <c r="Q259"/>
  <c r="Q258"/>
  <c r="Q257"/>
  <c r="Q254"/>
  <c r="Q251"/>
  <c r="Q250"/>
  <c r="Q247"/>
  <c r="Q246"/>
  <c r="Q241"/>
  <c r="Q240"/>
  <c r="Q238"/>
  <c r="Q236"/>
  <c r="Q235"/>
  <c r="Q228"/>
  <c r="Q226"/>
  <c r="Q225"/>
  <c r="Q224"/>
  <c r="Q219"/>
  <c r="Q217"/>
  <c r="Q215"/>
  <c r="Q214"/>
  <c r="Q212"/>
  <c r="Q210"/>
  <c r="Q204"/>
  <c r="Q203"/>
  <c r="Q202"/>
  <c r="Q201"/>
  <c r="Q199"/>
  <c r="Q194"/>
  <c r="Q193"/>
  <c r="Q192"/>
  <c r="Q189"/>
  <c r="Q188"/>
  <c r="Q187"/>
  <c r="Q186"/>
  <c r="Q185"/>
  <c r="Q184"/>
  <c r="Q183"/>
  <c r="Q182"/>
  <c r="Q178"/>
  <c r="Q176"/>
  <c r="Q175"/>
  <c r="Q174"/>
  <c r="Q173"/>
  <c r="Q170"/>
  <c r="Q169"/>
  <c r="Q168"/>
  <c r="Q161"/>
  <c r="Q157"/>
  <c r="Q156"/>
  <c r="Q154"/>
  <c r="Q148"/>
  <c r="Q147"/>
  <c r="Q146"/>
  <c r="Q145"/>
  <c r="Q144"/>
  <c r="Q141"/>
  <c r="Q140"/>
  <c r="Q137"/>
  <c r="Q134"/>
  <c r="Q133"/>
  <c r="Q131"/>
  <c r="Q130"/>
  <c r="Q128"/>
  <c r="Q127"/>
  <c r="Q126"/>
  <c r="Q125"/>
  <c r="Q124"/>
  <c r="Q123"/>
  <c r="Q122"/>
  <c r="Q121"/>
  <c r="Q120"/>
  <c r="Q119"/>
  <c r="Q118"/>
  <c r="Q115"/>
  <c r="Q113"/>
  <c r="Q111"/>
  <c r="Q109"/>
  <c r="Q108"/>
  <c r="Q105"/>
  <c r="Q104"/>
  <c r="Q103"/>
  <c r="Q102"/>
  <c r="Q101"/>
  <c r="Q98"/>
  <c r="Q97"/>
  <c r="Q95"/>
  <c r="Q92"/>
  <c r="Q89"/>
  <c r="Q88"/>
  <c r="Q87"/>
  <c r="Q84"/>
  <c r="Q81"/>
  <c r="Q79"/>
  <c r="Q77"/>
  <c r="Q75"/>
  <c r="Q74"/>
  <c r="Q73"/>
  <c r="Q72"/>
  <c r="Q70"/>
  <c r="Q69"/>
  <c r="Q65"/>
  <c r="Q64"/>
  <c r="Q59"/>
  <c r="Q57"/>
  <c r="Q54"/>
  <c r="Q53"/>
  <c r="Q50"/>
  <c r="Q46"/>
  <c r="Q45"/>
  <c r="Q44"/>
  <c r="Q43"/>
  <c r="Q41"/>
  <c r="Q39"/>
  <c r="Q38"/>
  <c r="Q37"/>
  <c r="Q36"/>
  <c r="Q34"/>
  <c r="Q30"/>
  <c r="Q29"/>
  <c r="Q27"/>
  <c r="Q26"/>
  <c r="Q25"/>
  <c r="Q24"/>
  <c r="Q18"/>
  <c r="Q17"/>
  <c r="Q16"/>
  <c r="Q12"/>
  <c r="Q11"/>
  <c r="Q9"/>
  <c r="Q8"/>
  <c r="Q6"/>
  <c r="Q5"/>
  <c r="Q3"/>
  <c r="Q2"/>
  <c r="AY370"/>
  <c r="AY364"/>
  <c r="AY363"/>
  <c r="AY362"/>
  <c r="AY352"/>
  <c r="AY351"/>
  <c r="AY349"/>
  <c r="AY348"/>
  <c r="AY347"/>
  <c r="AY345"/>
  <c r="AY344"/>
  <c r="AY341"/>
  <c r="AY335"/>
  <c r="AY330"/>
  <c r="AY328"/>
  <c r="AY321"/>
  <c r="AY320"/>
  <c r="AY319"/>
  <c r="AY316"/>
  <c r="AY315"/>
  <c r="AY308"/>
  <c r="AY307"/>
  <c r="AY305"/>
  <c r="AY299"/>
  <c r="AY298"/>
  <c r="AY296"/>
  <c r="AY291"/>
  <c r="AY289"/>
  <c r="AY288"/>
  <c r="AY287"/>
  <c r="AY286"/>
  <c r="AY285"/>
  <c r="AY283"/>
  <c r="AY279"/>
  <c r="AY278"/>
  <c r="AY274"/>
  <c r="AY273"/>
  <c r="AY272"/>
  <c r="AY271"/>
  <c r="AY268"/>
  <c r="AY264"/>
  <c r="AY262"/>
  <c r="AY253"/>
  <c r="AY252"/>
  <c r="AY251"/>
  <c r="AY248"/>
  <c r="AY243"/>
  <c r="AY242"/>
  <c r="AY241"/>
  <c r="AY240"/>
  <c r="AY238"/>
  <c r="AY236"/>
  <c r="AY231"/>
  <c r="AY230"/>
  <c r="AY228"/>
  <c r="AY225"/>
  <c r="AY224"/>
  <c r="AY216"/>
  <c r="AY215"/>
  <c r="AY214"/>
  <c r="AY212"/>
  <c r="AY210"/>
  <c r="AY204"/>
  <c r="AY202"/>
  <c r="AY201"/>
  <c r="AY200"/>
  <c r="AY199"/>
  <c r="AY194"/>
  <c r="AY193"/>
  <c r="AY192"/>
  <c r="AY189"/>
  <c r="AY188"/>
  <c r="AY187"/>
  <c r="AY186"/>
  <c r="AY185"/>
  <c r="AY184"/>
  <c r="AY182"/>
  <c r="AY181"/>
  <c r="AY178"/>
  <c r="AY174"/>
  <c r="AY173"/>
  <c r="AY171"/>
  <c r="AY170"/>
  <c r="AY168"/>
  <c r="AY166"/>
  <c r="AY161"/>
  <c r="AY157"/>
  <c r="AY156"/>
  <c r="AY154"/>
  <c r="AY153"/>
  <c r="AY151"/>
  <c r="AY148"/>
  <c r="AY147"/>
  <c r="AY146"/>
  <c r="AY145"/>
  <c r="AY144"/>
  <c r="AY142"/>
  <c r="AY141"/>
  <c r="AY140"/>
  <c r="AY137"/>
  <c r="AY134"/>
  <c r="AY133"/>
  <c r="AY131"/>
  <c r="AY127"/>
  <c r="AY125"/>
  <c r="AY124"/>
  <c r="AY122"/>
  <c r="AY121"/>
  <c r="AY120"/>
  <c r="AY119"/>
  <c r="AY115"/>
  <c r="AY113"/>
  <c r="AY109"/>
  <c r="AY108"/>
  <c r="AY105"/>
  <c r="AY103"/>
  <c r="AY102"/>
  <c r="AY100"/>
  <c r="AY99"/>
  <c r="AY98"/>
  <c r="AY97"/>
  <c r="AY95"/>
  <c r="AY91"/>
  <c r="AY88"/>
  <c r="AY87"/>
  <c r="AY85"/>
  <c r="AY84"/>
  <c r="AY81"/>
  <c r="AY79"/>
  <c r="AY77"/>
  <c r="AY75"/>
  <c r="AY73"/>
  <c r="AY72"/>
  <c r="AY64"/>
  <c r="AY59"/>
  <c r="AY57"/>
  <c r="AY56"/>
  <c r="AY53"/>
  <c r="AY50"/>
  <c r="AY49"/>
  <c r="AY46"/>
  <c r="AY44"/>
  <c r="AY43"/>
  <c r="AY42"/>
  <c r="AY41"/>
  <c r="AY40"/>
  <c r="AY39"/>
  <c r="AY38"/>
  <c r="AY37"/>
  <c r="AY34"/>
  <c r="AY31"/>
  <c r="AY30"/>
  <c r="AY29"/>
  <c r="AY26"/>
  <c r="AY25"/>
  <c r="AY24"/>
  <c r="AY18"/>
  <c r="AY17"/>
  <c r="AY12"/>
  <c r="AY11"/>
  <c r="AY9"/>
  <c r="AY8"/>
  <c r="AY6"/>
  <c r="AY5"/>
  <c r="AY3"/>
  <c r="AY340"/>
  <c r="AY355"/>
  <c r="AY303"/>
  <c r="AY117"/>
  <c r="AY300"/>
  <c r="AY16"/>
  <c r="AY54"/>
  <c r="AY104"/>
  <c r="AY367"/>
  <c r="AY297"/>
  <c r="AY65"/>
  <c r="AY233"/>
  <c r="AY302"/>
  <c r="AY92"/>
  <c r="AY203"/>
  <c r="AY169"/>
  <c r="AY235"/>
  <c r="AY247"/>
  <c r="AY2"/>
  <c r="AY74"/>
  <c r="AY175"/>
  <c r="AY334"/>
  <c r="AY89"/>
  <c r="AY101"/>
  <c r="AY306"/>
  <c r="AY51"/>
  <c r="AY267"/>
  <c r="AY27"/>
  <c r="AY69"/>
  <c r="AY338"/>
  <c r="AY350"/>
  <c r="AY23"/>
  <c r="AY130"/>
  <c r="AY111"/>
  <c r="AY371"/>
  <c r="AY356"/>
  <c r="AY259"/>
  <c r="AY36"/>
  <c r="AY45"/>
  <c r="AY82"/>
  <c r="AY123"/>
  <c r="DE326"/>
  <c r="DD326"/>
  <c r="DC326"/>
  <c r="DE325"/>
  <c r="DD325"/>
  <c r="DC325"/>
  <c r="DE324"/>
  <c r="DD324"/>
  <c r="DC324"/>
  <c r="DE323"/>
  <c r="DD323"/>
  <c r="DC323"/>
  <c r="DE276"/>
  <c r="DD276"/>
  <c r="DC276"/>
  <c r="DE256"/>
  <c r="DD256"/>
  <c r="DC256"/>
  <c r="DE244"/>
  <c r="DD244"/>
  <c r="DC244"/>
  <c r="DE120"/>
  <c r="DD120"/>
  <c r="DC120"/>
  <c r="DE75"/>
  <c r="DD75"/>
  <c r="DC75"/>
  <c r="CQ358"/>
  <c r="CP358"/>
  <c r="CO358"/>
  <c r="CQ357"/>
  <c r="CP357"/>
  <c r="CO357"/>
  <c r="CQ260"/>
  <c r="CP260"/>
  <c r="CO260"/>
  <c r="CQ257"/>
  <c r="CP257"/>
  <c r="CO257"/>
  <c r="CQ187"/>
  <c r="CP187"/>
  <c r="CO187"/>
  <c r="CQ183"/>
  <c r="CP183"/>
  <c r="CO183"/>
  <c r="CQ150"/>
  <c r="CP150"/>
  <c r="CO150"/>
  <c r="CQ138"/>
  <c r="CP138"/>
  <c r="CO138"/>
  <c r="CQ75"/>
  <c r="CP75"/>
  <c r="CO75"/>
  <c r="CQ265"/>
  <c r="CP265"/>
  <c r="CO265"/>
  <c r="BM370"/>
  <c r="BM364"/>
  <c r="BM358"/>
  <c r="BM357"/>
  <c r="BM352"/>
  <c r="BM351"/>
  <c r="BM349"/>
  <c r="BM344"/>
  <c r="BM335"/>
  <c r="BM331"/>
  <c r="BM326"/>
  <c r="BM325"/>
  <c r="BM321"/>
  <c r="BM299"/>
  <c r="BM298"/>
  <c r="BM296"/>
  <c r="BM291"/>
  <c r="BM289"/>
  <c r="BM288"/>
  <c r="BM287"/>
  <c r="BM285"/>
  <c r="BM283"/>
  <c r="BM281"/>
  <c r="BM279"/>
  <c r="BM278"/>
  <c r="BM274"/>
  <c r="BM273"/>
  <c r="BM271"/>
  <c r="BM268"/>
  <c r="BM262"/>
  <c r="BM260"/>
  <c r="BM257"/>
  <c r="BM251"/>
  <c r="BM246"/>
  <c r="BM243"/>
  <c r="BM242"/>
  <c r="BM241"/>
  <c r="BM240"/>
  <c r="BM238"/>
  <c r="BM236"/>
  <c r="BM231"/>
  <c r="BM228"/>
  <c r="BM225"/>
  <c r="BM224"/>
  <c r="BM216"/>
  <c r="BM215"/>
  <c r="BM214"/>
  <c r="BM212"/>
  <c r="BM210"/>
  <c r="BM204"/>
  <c r="BM202"/>
  <c r="BM201"/>
  <c r="BM199"/>
  <c r="BM194"/>
  <c r="BM193"/>
  <c r="BM192"/>
  <c r="BM189"/>
  <c r="BM188"/>
  <c r="BM187"/>
  <c r="BM186"/>
  <c r="BM185"/>
  <c r="BM184"/>
  <c r="BM182"/>
  <c r="BM178"/>
  <c r="BM176"/>
  <c r="BM174"/>
  <c r="BM173"/>
  <c r="BM170"/>
  <c r="BM168"/>
  <c r="BM161"/>
  <c r="BM157"/>
  <c r="BM156"/>
  <c r="BM148"/>
  <c r="BM147"/>
  <c r="BM146"/>
  <c r="BM145"/>
  <c r="BM144"/>
  <c r="BM141"/>
  <c r="BM140"/>
  <c r="BM137"/>
  <c r="BM134"/>
  <c r="BM133"/>
  <c r="BM131"/>
  <c r="BM127"/>
  <c r="BM125"/>
  <c r="BM124"/>
  <c r="BM121"/>
  <c r="BM119"/>
  <c r="BM118"/>
  <c r="BM113"/>
  <c r="BM110"/>
  <c r="BM109"/>
  <c r="BM108"/>
  <c r="BM105"/>
  <c r="BM103"/>
  <c r="BM102"/>
  <c r="BM98"/>
  <c r="BM97"/>
  <c r="BM95"/>
  <c r="BM91"/>
  <c r="BM88"/>
  <c r="BM84"/>
  <c r="BM81"/>
  <c r="BM79"/>
  <c r="BM77"/>
  <c r="BM75"/>
  <c r="BM73"/>
  <c r="BM72"/>
  <c r="BM64"/>
  <c r="BM59"/>
  <c r="BM57"/>
  <c r="BM53"/>
  <c r="BM50"/>
  <c r="BM46"/>
  <c r="BM44"/>
  <c r="BM43"/>
  <c r="BM42"/>
  <c r="BM41"/>
  <c r="BM39"/>
  <c r="BM38"/>
  <c r="BM37"/>
  <c r="BM34"/>
  <c r="BM30"/>
  <c r="BM29"/>
  <c r="BM26"/>
  <c r="BM25"/>
  <c r="BM24"/>
  <c r="BM18"/>
  <c r="BM17"/>
  <c r="BM12"/>
  <c r="BM11"/>
  <c r="BM9"/>
  <c r="BM8"/>
  <c r="BM6"/>
  <c r="BM5"/>
  <c r="BM3"/>
  <c r="BM340"/>
  <c r="BM355"/>
  <c r="BM303"/>
  <c r="BM300"/>
  <c r="BM16"/>
  <c r="BM54"/>
  <c r="BM104"/>
  <c r="BM297"/>
  <c r="BM65"/>
  <c r="BM302"/>
  <c r="BM92"/>
  <c r="BM203"/>
  <c r="BM169"/>
  <c r="BM235"/>
  <c r="BM247"/>
  <c r="BM2"/>
  <c r="BM74"/>
  <c r="BM175"/>
  <c r="BM334"/>
  <c r="BM89"/>
  <c r="BM101"/>
  <c r="BM306"/>
  <c r="BM51"/>
  <c r="BM267"/>
  <c r="BM27"/>
  <c r="BM69"/>
  <c r="BM350"/>
  <c r="BM130"/>
  <c r="BM371"/>
  <c r="BM265"/>
  <c r="BM356"/>
  <c r="BM259"/>
  <c r="BM36"/>
  <c r="BM45"/>
  <c r="BM123"/>
  <c r="V370"/>
  <c r="U370"/>
  <c r="T370"/>
  <c r="V364"/>
  <c r="U364"/>
  <c r="T364"/>
  <c r="V363"/>
  <c r="U363"/>
  <c r="T363"/>
  <c r="V362"/>
  <c r="U362"/>
  <c r="T362"/>
  <c r="V358"/>
  <c r="U358"/>
  <c r="T358"/>
  <c r="V357"/>
  <c r="U357"/>
  <c r="T357"/>
  <c r="V352"/>
  <c r="U352"/>
  <c r="T352"/>
  <c r="V351"/>
  <c r="U351"/>
  <c r="T351"/>
  <c r="V349"/>
  <c r="U349"/>
  <c r="T349"/>
  <c r="V348"/>
  <c r="U348"/>
  <c r="T348"/>
  <c r="V347"/>
  <c r="U347"/>
  <c r="T347"/>
  <c r="V346"/>
  <c r="U346"/>
  <c r="T346"/>
  <c r="V345"/>
  <c r="U345"/>
  <c r="T345"/>
  <c r="V344"/>
  <c r="U344"/>
  <c r="T344"/>
  <c r="V341"/>
  <c r="U341"/>
  <c r="T341"/>
  <c r="V336"/>
  <c r="U336"/>
  <c r="T336"/>
  <c r="V335"/>
  <c r="U335"/>
  <c r="T335"/>
  <c r="V331"/>
  <c r="U331"/>
  <c r="T331"/>
  <c r="V330"/>
  <c r="U330"/>
  <c r="T330"/>
  <c r="V328"/>
  <c r="U328"/>
  <c r="T328"/>
  <c r="V326"/>
  <c r="U326"/>
  <c r="T326"/>
  <c r="V325"/>
  <c r="U325"/>
  <c r="T325"/>
  <c r="V323"/>
  <c r="U323"/>
  <c r="T323"/>
  <c r="V321"/>
  <c r="U321"/>
  <c r="T321"/>
  <c r="V320"/>
  <c r="U320"/>
  <c r="T320"/>
  <c r="V319"/>
  <c r="U319"/>
  <c r="T319"/>
  <c r="V317"/>
  <c r="U317"/>
  <c r="T317"/>
  <c r="V316"/>
  <c r="U316"/>
  <c r="T316"/>
  <c r="V315"/>
  <c r="U315"/>
  <c r="T315"/>
  <c r="V313"/>
  <c r="U313"/>
  <c r="T313"/>
  <c r="V311"/>
  <c r="U311"/>
  <c r="T311"/>
  <c r="V308"/>
  <c r="U308"/>
  <c r="T308"/>
  <c r="V307"/>
  <c r="U307"/>
  <c r="T307"/>
  <c r="V305"/>
  <c r="U305"/>
  <c r="T305"/>
  <c r="V299"/>
  <c r="U299"/>
  <c r="T299"/>
  <c r="V298"/>
  <c r="U298"/>
  <c r="T298"/>
  <c r="V296"/>
  <c r="U296"/>
  <c r="T296"/>
  <c r="V291"/>
  <c r="U291"/>
  <c r="T291"/>
  <c r="V289"/>
  <c r="U289"/>
  <c r="T289"/>
  <c r="V288"/>
  <c r="U288"/>
  <c r="T288"/>
  <c r="V287"/>
  <c r="U287"/>
  <c r="T287"/>
  <c r="V286"/>
  <c r="U286"/>
  <c r="T286"/>
  <c r="V285"/>
  <c r="U285"/>
  <c r="T285"/>
  <c r="V283"/>
  <c r="U283"/>
  <c r="T283"/>
  <c r="V282"/>
  <c r="U282"/>
  <c r="T282"/>
  <c r="V281"/>
  <c r="U281"/>
  <c r="T281"/>
  <c r="V279"/>
  <c r="U279"/>
  <c r="T279"/>
  <c r="V278"/>
  <c r="U278"/>
  <c r="T278"/>
  <c r="V274"/>
  <c r="U274"/>
  <c r="T274"/>
  <c r="V273"/>
  <c r="U273"/>
  <c r="T273"/>
  <c r="V272"/>
  <c r="U272"/>
  <c r="T272"/>
  <c r="V271"/>
  <c r="U271"/>
  <c r="T271"/>
  <c r="V269"/>
  <c r="U269"/>
  <c r="T269"/>
  <c r="V268"/>
  <c r="U268"/>
  <c r="T268"/>
  <c r="V266"/>
  <c r="U266"/>
  <c r="T266"/>
  <c r="V264"/>
  <c r="U264"/>
  <c r="T264"/>
  <c r="V263"/>
  <c r="U263"/>
  <c r="T263"/>
  <c r="V262"/>
  <c r="U262"/>
  <c r="T262"/>
  <c r="V260"/>
  <c r="U260"/>
  <c r="T260"/>
  <c r="V257"/>
  <c r="U257"/>
  <c r="T257"/>
  <c r="V256"/>
  <c r="U256"/>
  <c r="T256"/>
  <c r="V254"/>
  <c r="U254"/>
  <c r="T254"/>
  <c r="V253"/>
  <c r="U253"/>
  <c r="T253"/>
  <c r="V252"/>
  <c r="U252"/>
  <c r="T252"/>
  <c r="V251"/>
  <c r="U251"/>
  <c r="T251"/>
  <c r="V250"/>
  <c r="U250"/>
  <c r="T250"/>
  <c r="V248"/>
  <c r="U248"/>
  <c r="T248"/>
  <c r="V246"/>
  <c r="U246"/>
  <c r="T246"/>
  <c r="V244"/>
  <c r="U244"/>
  <c r="T244"/>
  <c r="V243"/>
  <c r="U243"/>
  <c r="T243"/>
  <c r="V242"/>
  <c r="U242"/>
  <c r="T242"/>
  <c r="V241"/>
  <c r="U241"/>
  <c r="T241"/>
  <c r="V240"/>
  <c r="U240"/>
  <c r="T240"/>
  <c r="V239"/>
  <c r="U239"/>
  <c r="T239"/>
  <c r="V238"/>
  <c r="U238"/>
  <c r="T238"/>
  <c r="V236"/>
  <c r="U236"/>
  <c r="T236"/>
  <c r="V231"/>
  <c r="U231"/>
  <c r="T231"/>
  <c r="V230"/>
  <c r="U230"/>
  <c r="T230"/>
  <c r="V228"/>
  <c r="U228"/>
  <c r="T228"/>
  <c r="V226"/>
  <c r="U226"/>
  <c r="T226"/>
  <c r="V225"/>
  <c r="U225"/>
  <c r="T225"/>
  <c r="V224"/>
  <c r="U224"/>
  <c r="T224"/>
  <c r="V217"/>
  <c r="U217"/>
  <c r="T217"/>
  <c r="V216"/>
  <c r="U216"/>
  <c r="T216"/>
  <c r="V215"/>
  <c r="U215"/>
  <c r="T215"/>
  <c r="V214"/>
  <c r="U214"/>
  <c r="T214"/>
  <c r="V212"/>
  <c r="U212"/>
  <c r="T212"/>
  <c r="V210"/>
  <c r="U210"/>
  <c r="T210"/>
  <c r="V205"/>
  <c r="U205"/>
  <c r="T205"/>
  <c r="V204"/>
  <c r="U204"/>
  <c r="T204"/>
  <c r="V202"/>
  <c r="U202"/>
  <c r="T202"/>
  <c r="V201"/>
  <c r="U201"/>
  <c r="T201"/>
  <c r="V200"/>
  <c r="U200"/>
  <c r="T200"/>
  <c r="V199"/>
  <c r="U199"/>
  <c r="T199"/>
  <c r="V194"/>
  <c r="U194"/>
  <c r="T194"/>
  <c r="V193"/>
  <c r="U193"/>
  <c r="T193"/>
  <c r="V192"/>
  <c r="U192"/>
  <c r="T192"/>
  <c r="V189"/>
  <c r="U189"/>
  <c r="T189"/>
  <c r="V188"/>
  <c r="U188"/>
  <c r="T188"/>
  <c r="V187"/>
  <c r="U187"/>
  <c r="T187"/>
  <c r="V186"/>
  <c r="U186"/>
  <c r="T186"/>
  <c r="V185"/>
  <c r="U185"/>
  <c r="T185"/>
  <c r="V184"/>
  <c r="U184"/>
  <c r="T184"/>
  <c r="V183"/>
  <c r="U183"/>
  <c r="T183"/>
  <c r="V182"/>
  <c r="U182"/>
  <c r="T182"/>
  <c r="V181"/>
  <c r="U181"/>
  <c r="T181"/>
  <c r="V179"/>
  <c r="U179"/>
  <c r="T179"/>
  <c r="V178"/>
  <c r="U178"/>
  <c r="T178"/>
  <c r="V176"/>
  <c r="U176"/>
  <c r="T176"/>
  <c r="V174"/>
  <c r="U174"/>
  <c r="T174"/>
  <c r="V173"/>
  <c r="U173"/>
  <c r="T173"/>
  <c r="V170"/>
  <c r="U170"/>
  <c r="T170"/>
  <c r="V168"/>
  <c r="U168"/>
  <c r="T168"/>
  <c r="V166"/>
  <c r="U166"/>
  <c r="T166"/>
  <c r="V164"/>
  <c r="U164"/>
  <c r="T164"/>
  <c r="V163"/>
  <c r="U163"/>
  <c r="T163"/>
  <c r="V161"/>
  <c r="U161"/>
  <c r="T161"/>
  <c r="V158"/>
  <c r="U158"/>
  <c r="T158"/>
  <c r="V157"/>
  <c r="U157"/>
  <c r="T157"/>
  <c r="V156"/>
  <c r="U156"/>
  <c r="T156"/>
  <c r="V154"/>
  <c r="U154"/>
  <c r="T154"/>
  <c r="V153"/>
  <c r="U153"/>
  <c r="T153"/>
  <c r="V151"/>
  <c r="U151"/>
  <c r="T151"/>
  <c r="V148"/>
  <c r="U148"/>
  <c r="T148"/>
  <c r="V147"/>
  <c r="U147"/>
  <c r="T147"/>
  <c r="V146"/>
  <c r="U146"/>
  <c r="T146"/>
  <c r="V145"/>
  <c r="U145"/>
  <c r="T145"/>
  <c r="V144"/>
  <c r="U144"/>
  <c r="T144"/>
  <c r="V142"/>
  <c r="U142"/>
  <c r="T142"/>
  <c r="V141"/>
  <c r="U141"/>
  <c r="T141"/>
  <c r="V140"/>
  <c r="U140"/>
  <c r="T140"/>
  <c r="V137"/>
  <c r="U137"/>
  <c r="T137"/>
  <c r="V134"/>
  <c r="U134"/>
  <c r="T134"/>
  <c r="V133"/>
  <c r="U133"/>
  <c r="T133"/>
  <c r="V131"/>
  <c r="U131"/>
  <c r="T131"/>
  <c r="V128"/>
  <c r="U128"/>
  <c r="T128"/>
  <c r="V127"/>
  <c r="U127"/>
  <c r="T127"/>
  <c r="V126"/>
  <c r="U126"/>
  <c r="T126"/>
  <c r="V125"/>
  <c r="U125"/>
  <c r="T125"/>
  <c r="V124"/>
  <c r="U124"/>
  <c r="T124"/>
  <c r="V122"/>
  <c r="U122"/>
  <c r="T122"/>
  <c r="V121"/>
  <c r="U121"/>
  <c r="T121"/>
  <c r="V120"/>
  <c r="U120"/>
  <c r="T120"/>
  <c r="V119"/>
  <c r="U119"/>
  <c r="T119"/>
  <c r="V118"/>
  <c r="U118"/>
  <c r="T118"/>
  <c r="V115"/>
  <c r="U115"/>
  <c r="T115"/>
  <c r="V113"/>
  <c r="U113"/>
  <c r="T113"/>
  <c r="V110"/>
  <c r="U110"/>
  <c r="T110"/>
  <c r="V109"/>
  <c r="U109"/>
  <c r="T109"/>
  <c r="V108"/>
  <c r="U108"/>
  <c r="T108"/>
  <c r="V105"/>
  <c r="U105"/>
  <c r="T105"/>
  <c r="V103"/>
  <c r="U103"/>
  <c r="T103"/>
  <c r="V102"/>
  <c r="U102"/>
  <c r="T102"/>
  <c r="V100"/>
  <c r="U100"/>
  <c r="T100"/>
  <c r="V99"/>
  <c r="U99"/>
  <c r="T99"/>
  <c r="V98"/>
  <c r="U98"/>
  <c r="T98"/>
  <c r="V97"/>
  <c r="U97"/>
  <c r="T97"/>
  <c r="V95"/>
  <c r="U95"/>
  <c r="T95"/>
  <c r="V91"/>
  <c r="U91"/>
  <c r="T91"/>
  <c r="V88"/>
  <c r="U88"/>
  <c r="T88"/>
  <c r="V87"/>
  <c r="U87"/>
  <c r="T87"/>
  <c r="V85"/>
  <c r="U85"/>
  <c r="T85"/>
  <c r="V84"/>
  <c r="U84"/>
  <c r="T84"/>
  <c r="V81"/>
  <c r="U81"/>
  <c r="T81"/>
  <c r="V79"/>
  <c r="U79"/>
  <c r="T79"/>
  <c r="V77"/>
  <c r="U77"/>
  <c r="T77"/>
  <c r="V75"/>
  <c r="U75"/>
  <c r="T75"/>
  <c r="V73"/>
  <c r="U73"/>
  <c r="T73"/>
  <c r="V72"/>
  <c r="U72"/>
  <c r="T72"/>
  <c r="V64"/>
  <c r="U64"/>
  <c r="T64"/>
  <c r="V59"/>
  <c r="U59"/>
  <c r="T59"/>
  <c r="V57"/>
  <c r="U57"/>
  <c r="T57"/>
  <c r="V56"/>
  <c r="U56"/>
  <c r="T56"/>
  <c r="V53"/>
  <c r="U53"/>
  <c r="T53"/>
  <c r="V50"/>
  <c r="U50"/>
  <c r="T50"/>
  <c r="V49"/>
  <c r="U49"/>
  <c r="T49"/>
  <c r="V47"/>
  <c r="U47"/>
  <c r="T47"/>
  <c r="V46"/>
  <c r="U46"/>
  <c r="T46"/>
  <c r="V44"/>
  <c r="U44"/>
  <c r="T44"/>
  <c r="V43"/>
  <c r="U43"/>
  <c r="T43"/>
  <c r="V42"/>
  <c r="U42"/>
  <c r="T42"/>
  <c r="V41"/>
  <c r="U41"/>
  <c r="T41"/>
  <c r="V39"/>
  <c r="U39"/>
  <c r="T39"/>
  <c r="V38"/>
  <c r="U38"/>
  <c r="T38"/>
  <c r="V37"/>
  <c r="U37"/>
  <c r="T37"/>
  <c r="V34"/>
  <c r="U34"/>
  <c r="T34"/>
  <c r="V31"/>
  <c r="U31"/>
  <c r="T31"/>
  <c r="V30"/>
  <c r="U30"/>
  <c r="T30"/>
  <c r="V29"/>
  <c r="U29"/>
  <c r="T29"/>
  <c r="V26"/>
  <c r="U26"/>
  <c r="T26"/>
  <c r="V25"/>
  <c r="U25"/>
  <c r="T25"/>
  <c r="V24"/>
  <c r="U24"/>
  <c r="T24"/>
  <c r="V18"/>
  <c r="U18"/>
  <c r="T18"/>
  <c r="V17"/>
  <c r="U17"/>
  <c r="T17"/>
  <c r="V15"/>
  <c r="U15"/>
  <c r="T15"/>
  <c r="V13"/>
  <c r="U13"/>
  <c r="T13"/>
  <c r="V12"/>
  <c r="U12"/>
  <c r="T12"/>
  <c r="V11"/>
  <c r="U11"/>
  <c r="T11"/>
  <c r="V9"/>
  <c r="U9"/>
  <c r="T9"/>
  <c r="V8"/>
  <c r="U8"/>
  <c r="T8"/>
  <c r="V7"/>
  <c r="U7"/>
  <c r="T7"/>
  <c r="V6"/>
  <c r="U6"/>
  <c r="T6"/>
  <c r="V5"/>
  <c r="U5"/>
  <c r="T5"/>
  <c r="V3"/>
  <c r="U3"/>
  <c r="T3"/>
  <c r="V340"/>
  <c r="U340"/>
  <c r="T340"/>
  <c r="V355"/>
  <c r="U355"/>
  <c r="T355"/>
  <c r="V258"/>
  <c r="U258"/>
  <c r="T258"/>
  <c r="V303"/>
  <c r="U303"/>
  <c r="T303"/>
  <c r="V300"/>
  <c r="U300"/>
  <c r="T300"/>
  <c r="V16"/>
  <c r="U16"/>
  <c r="T16"/>
  <c r="V54"/>
  <c r="U54"/>
  <c r="T54"/>
  <c r="V104"/>
  <c r="U104"/>
  <c r="T104"/>
  <c r="V367"/>
  <c r="U367"/>
  <c r="T367"/>
  <c r="V297"/>
  <c r="U297"/>
  <c r="T297"/>
  <c r="V65"/>
  <c r="U65"/>
  <c r="T65"/>
  <c r="V233"/>
  <c r="U233"/>
  <c r="T233"/>
  <c r="V302"/>
  <c r="U302"/>
  <c r="T302"/>
  <c r="V92"/>
  <c r="U92"/>
  <c r="T92"/>
  <c r="V203"/>
  <c r="U203"/>
  <c r="T203"/>
  <c r="V169"/>
  <c r="U169"/>
  <c r="T169"/>
  <c r="V235"/>
  <c r="U235"/>
  <c r="T235"/>
  <c r="V219"/>
  <c r="U219"/>
  <c r="T219"/>
  <c r="V247"/>
  <c r="U247"/>
  <c r="T247"/>
  <c r="V2"/>
  <c r="U2"/>
  <c r="T2"/>
  <c r="V74"/>
  <c r="U74"/>
  <c r="T74"/>
  <c r="V175"/>
  <c r="U175"/>
  <c r="T175"/>
  <c r="V261"/>
  <c r="U261"/>
  <c r="T261"/>
  <c r="V334"/>
  <c r="U334"/>
  <c r="T334"/>
  <c r="V89"/>
  <c r="U89"/>
  <c r="T89"/>
  <c r="V101"/>
  <c r="U101"/>
  <c r="T101"/>
  <c r="V306"/>
  <c r="U306"/>
  <c r="T306"/>
  <c r="V51"/>
  <c r="U51"/>
  <c r="T51"/>
  <c r="V149"/>
  <c r="U149"/>
  <c r="T149"/>
  <c r="V267"/>
  <c r="U267"/>
  <c r="T267"/>
  <c r="V27"/>
  <c r="U27"/>
  <c r="T27"/>
  <c r="V69"/>
  <c r="U69"/>
  <c r="T69"/>
  <c r="V338"/>
  <c r="U338"/>
  <c r="T338"/>
  <c r="V350"/>
  <c r="U350"/>
  <c r="T350"/>
  <c r="V23"/>
  <c r="U23"/>
  <c r="T23"/>
  <c r="V130"/>
  <c r="U130"/>
  <c r="T130"/>
  <c r="V70"/>
  <c r="U70"/>
  <c r="T70"/>
  <c r="V280"/>
  <c r="U280"/>
  <c r="T280"/>
  <c r="V111"/>
  <c r="U111"/>
  <c r="T111"/>
  <c r="V371"/>
  <c r="U371"/>
  <c r="T371"/>
  <c r="V90"/>
  <c r="U90"/>
  <c r="T90"/>
  <c r="V265"/>
  <c r="U265"/>
  <c r="T265"/>
  <c r="V356"/>
  <c r="U356"/>
  <c r="T356"/>
  <c r="V259"/>
  <c r="U259"/>
  <c r="T259"/>
  <c r="V36"/>
  <c r="U36"/>
  <c r="T36"/>
  <c r="V45"/>
  <c r="U45"/>
  <c r="T45"/>
  <c r="V82"/>
  <c r="U82"/>
  <c r="T82"/>
  <c r="V123"/>
  <c r="U123"/>
  <c r="T123"/>
  <c r="AL370"/>
  <c r="AK370"/>
  <c r="AL364"/>
  <c r="AK364"/>
  <c r="AL358"/>
  <c r="AK358"/>
  <c r="AL357"/>
  <c r="AK357"/>
  <c r="AL352"/>
  <c r="AK352"/>
  <c r="AL351"/>
  <c r="AK351"/>
  <c r="AL349"/>
  <c r="AK349"/>
  <c r="AL348"/>
  <c r="AK348"/>
  <c r="AL347"/>
  <c r="AK347"/>
  <c r="AL344"/>
  <c r="AK344"/>
  <c r="AL341"/>
  <c r="AK341"/>
  <c r="AL335"/>
  <c r="AK335"/>
  <c r="AL331"/>
  <c r="AK331"/>
  <c r="AL326"/>
  <c r="AK326"/>
  <c r="AL325"/>
  <c r="AK325"/>
  <c r="AL321"/>
  <c r="AK321"/>
  <c r="AL317"/>
  <c r="AK317"/>
  <c r="AL299"/>
  <c r="AK299"/>
  <c r="AL298"/>
  <c r="AK298"/>
  <c r="AL296"/>
  <c r="AK296"/>
  <c r="AL291"/>
  <c r="AK291"/>
  <c r="AL289"/>
  <c r="AK289"/>
  <c r="AL288"/>
  <c r="AK288"/>
  <c r="AL287"/>
  <c r="AK287"/>
  <c r="AL285"/>
  <c r="AK285"/>
  <c r="AL281"/>
  <c r="AK281"/>
  <c r="AL279"/>
  <c r="AK279"/>
  <c r="AL278"/>
  <c r="AK278"/>
  <c r="AL274"/>
  <c r="AK274"/>
  <c r="AL273"/>
  <c r="AK273"/>
  <c r="AL271"/>
  <c r="AK271"/>
  <c r="AL269"/>
  <c r="AK269"/>
  <c r="AL268"/>
  <c r="AK268"/>
  <c r="AL262"/>
  <c r="AK262"/>
  <c r="AL260"/>
  <c r="AK260"/>
  <c r="AL257"/>
  <c r="AK257"/>
  <c r="AL251"/>
  <c r="AK251"/>
  <c r="AL246"/>
  <c r="AK246"/>
  <c r="AL243"/>
  <c r="AK243"/>
  <c r="AL242"/>
  <c r="AK242"/>
  <c r="AL241"/>
  <c r="AK241"/>
  <c r="AL240"/>
  <c r="AK240"/>
  <c r="AL238"/>
  <c r="AK238"/>
  <c r="AL236"/>
  <c r="AK236"/>
  <c r="AL231"/>
  <c r="AK231"/>
  <c r="AL228"/>
  <c r="AK228"/>
  <c r="AL226"/>
  <c r="AK226"/>
  <c r="AL225"/>
  <c r="AK225"/>
  <c r="AL224"/>
  <c r="AK224"/>
  <c r="AL216"/>
  <c r="AK216"/>
  <c r="AL215"/>
  <c r="AK215"/>
  <c r="AL214"/>
  <c r="AK214"/>
  <c r="AL212"/>
  <c r="AK212"/>
  <c r="AL210"/>
  <c r="AK210"/>
  <c r="AL204"/>
  <c r="AK204"/>
  <c r="AL202"/>
  <c r="AK202"/>
  <c r="AL201"/>
  <c r="AK201"/>
  <c r="AL199"/>
  <c r="AK199"/>
  <c r="AL194"/>
  <c r="AK194"/>
  <c r="AL193"/>
  <c r="AK193"/>
  <c r="AL192"/>
  <c r="AK192"/>
  <c r="AL189"/>
  <c r="AK189"/>
  <c r="AL188"/>
  <c r="AK188"/>
  <c r="AL187"/>
  <c r="AK187"/>
  <c r="AL186"/>
  <c r="AK186"/>
  <c r="AL185"/>
  <c r="AK185"/>
  <c r="AL184"/>
  <c r="AK184"/>
  <c r="AL183"/>
  <c r="AK183"/>
  <c r="AL182"/>
  <c r="AK182"/>
  <c r="AL178"/>
  <c r="AK178"/>
  <c r="AL176"/>
  <c r="AK176"/>
  <c r="AL174"/>
  <c r="AK174"/>
  <c r="AL173"/>
  <c r="AK173"/>
  <c r="AL170"/>
  <c r="AK170"/>
  <c r="AL168"/>
  <c r="AK168"/>
  <c r="AL161"/>
  <c r="AK161"/>
  <c r="AL157"/>
  <c r="AK157"/>
  <c r="AL156"/>
  <c r="AK156"/>
  <c r="AL147"/>
  <c r="AK147"/>
  <c r="AL146"/>
  <c r="AK146"/>
  <c r="AL145"/>
  <c r="AK145"/>
  <c r="AL144"/>
  <c r="AK144"/>
  <c r="AL141"/>
  <c r="AK141"/>
  <c r="AL137"/>
  <c r="AK137"/>
  <c r="AL133"/>
  <c r="AK133"/>
  <c r="AL131"/>
  <c r="AK131"/>
  <c r="AL128"/>
  <c r="AK128"/>
  <c r="AL127"/>
  <c r="AK127"/>
  <c r="AL125"/>
  <c r="AK125"/>
  <c r="AL121"/>
  <c r="AK121"/>
  <c r="AL119"/>
  <c r="AK119"/>
  <c r="AL118"/>
  <c r="AK118"/>
  <c r="AL113"/>
  <c r="AK113"/>
  <c r="AL109"/>
  <c r="AK109"/>
  <c r="AL108"/>
  <c r="AK108"/>
  <c r="AL105"/>
  <c r="AK105"/>
  <c r="AL103"/>
  <c r="AK103"/>
  <c r="AL98"/>
  <c r="AK98"/>
  <c r="AL97"/>
  <c r="AK97"/>
  <c r="AL95"/>
  <c r="AK95"/>
  <c r="AL88"/>
  <c r="AK88"/>
  <c r="AL84"/>
  <c r="AK84"/>
  <c r="AL81"/>
  <c r="AK81"/>
  <c r="AL79"/>
  <c r="AK79"/>
  <c r="AL77"/>
  <c r="AK77"/>
  <c r="AL75"/>
  <c r="AK75"/>
  <c r="AL73"/>
  <c r="AK73"/>
  <c r="AL72"/>
  <c r="AK72"/>
  <c r="AL64"/>
  <c r="AK64"/>
  <c r="AL59"/>
  <c r="AK59"/>
  <c r="AL57"/>
  <c r="AK57"/>
  <c r="AL53"/>
  <c r="AK53"/>
  <c r="AL46"/>
  <c r="AK46"/>
  <c r="AL44"/>
  <c r="AK44"/>
  <c r="AL43"/>
  <c r="AK43"/>
  <c r="AL41"/>
  <c r="AK41"/>
  <c r="AL39"/>
  <c r="AK39"/>
  <c r="AL38"/>
  <c r="AK38"/>
  <c r="AL37"/>
  <c r="AK37"/>
  <c r="AL34"/>
  <c r="AK34"/>
  <c r="AL30"/>
  <c r="AK30"/>
  <c r="AL26"/>
  <c r="AK26"/>
  <c r="AL25"/>
  <c r="AK25"/>
  <c r="AL24"/>
  <c r="AK24"/>
  <c r="AL18"/>
  <c r="AK18"/>
  <c r="AL17"/>
  <c r="AK17"/>
  <c r="AL12"/>
  <c r="AK12"/>
  <c r="AL11"/>
  <c r="AK11"/>
  <c r="AL9"/>
  <c r="AK9"/>
  <c r="AL8"/>
  <c r="AK8"/>
  <c r="AL6"/>
  <c r="AK6"/>
  <c r="AL5"/>
  <c r="AK5"/>
  <c r="AL3"/>
  <c r="AK3"/>
  <c r="AL355"/>
  <c r="AK355"/>
  <c r="AL258"/>
  <c r="AK258"/>
  <c r="AL303"/>
  <c r="AK303"/>
  <c r="AL300"/>
  <c r="AK300"/>
  <c r="AL16"/>
  <c r="AK16"/>
  <c r="AL54"/>
  <c r="AK54"/>
  <c r="AL104"/>
  <c r="AK104"/>
  <c r="AL297"/>
  <c r="AK297"/>
  <c r="AL65"/>
  <c r="AK65"/>
  <c r="AL302"/>
  <c r="AK302"/>
  <c r="AL92"/>
  <c r="AK92"/>
  <c r="AL203"/>
  <c r="AK203"/>
  <c r="AL169"/>
  <c r="AK169"/>
  <c r="AL235"/>
  <c r="AK235"/>
  <c r="AL219"/>
  <c r="AK219"/>
  <c r="AL247"/>
  <c r="AK247"/>
  <c r="AL2"/>
  <c r="AK2"/>
  <c r="AL74"/>
  <c r="AK74"/>
  <c r="AL175"/>
  <c r="AK175"/>
  <c r="AL334"/>
  <c r="AK334"/>
  <c r="AL89"/>
  <c r="AK89"/>
  <c r="AL101"/>
  <c r="AK101"/>
  <c r="AL306"/>
  <c r="AK306"/>
  <c r="AL51"/>
  <c r="AK51"/>
  <c r="AL267"/>
  <c r="AK267"/>
  <c r="AL27"/>
  <c r="AK27"/>
  <c r="AL69"/>
  <c r="AK69"/>
  <c r="AL350"/>
  <c r="AK350"/>
  <c r="AL130"/>
  <c r="AK130"/>
  <c r="AL265"/>
  <c r="AK265"/>
  <c r="AL356"/>
  <c r="AK356"/>
  <c r="AL259"/>
  <c r="AK259"/>
  <c r="AL36"/>
  <c r="AK36"/>
  <c r="AL45"/>
  <c r="AK45"/>
  <c r="AL123"/>
  <c r="AK123"/>
  <c r="F55"/>
  <c r="F54"/>
  <c r="F53"/>
  <c r="F6"/>
  <c r="F52"/>
  <c r="F51"/>
  <c r="F50"/>
  <c r="F49"/>
  <c r="F48"/>
  <c r="F47"/>
  <c r="F5"/>
  <c r="F46"/>
  <c r="F45"/>
  <c r="F44"/>
  <c r="F43"/>
  <c r="F42"/>
  <c r="F41"/>
  <c r="F40"/>
  <c r="F39"/>
  <c r="F38"/>
  <c r="F37"/>
  <c r="F36"/>
  <c r="F4"/>
  <c r="F371"/>
  <c r="F370"/>
  <c r="F369"/>
  <c r="F367"/>
  <c r="F366"/>
  <c r="F365"/>
  <c r="F364"/>
  <c r="F363"/>
  <c r="F362"/>
  <c r="F361"/>
  <c r="F35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4"/>
  <c r="F318"/>
  <c r="F317"/>
  <c r="F316"/>
  <c r="F315"/>
  <c r="F314"/>
  <c r="F313"/>
  <c r="F312"/>
  <c r="F33"/>
  <c r="F311"/>
  <c r="F310"/>
  <c r="F308"/>
  <c r="F307"/>
  <c r="F32"/>
  <c r="F306"/>
  <c r="F305"/>
  <c r="F304"/>
  <c r="F303"/>
  <c r="F302"/>
  <c r="F31"/>
  <c r="F3"/>
  <c r="F301"/>
  <c r="F300"/>
  <c r="F299"/>
  <c r="F298"/>
  <c r="F297"/>
  <c r="F296"/>
  <c r="F295"/>
  <c r="F294"/>
  <c r="F293"/>
  <c r="F292"/>
  <c r="F291"/>
  <c r="F30"/>
  <c r="F290"/>
  <c r="F289"/>
  <c r="F288"/>
  <c r="F29"/>
  <c r="F287"/>
  <c r="F286"/>
  <c r="F285"/>
  <c r="F284"/>
  <c r="F283"/>
  <c r="F282"/>
  <c r="F281"/>
  <c r="F280"/>
  <c r="F279"/>
  <c r="F278"/>
  <c r="F277"/>
  <c r="F276"/>
  <c r="F275"/>
  <c r="F274"/>
  <c r="F28"/>
  <c r="F273"/>
  <c r="F272"/>
  <c r="F271"/>
  <c r="F270"/>
  <c r="F269"/>
  <c r="F268"/>
  <c r="F267"/>
  <c r="F2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6"/>
  <c r="F240"/>
  <c r="F239"/>
  <c r="F238"/>
  <c r="F237"/>
  <c r="F236"/>
  <c r="F235"/>
  <c r="F234"/>
  <c r="F233"/>
  <c r="F25"/>
  <c r="F232"/>
  <c r="F231"/>
  <c r="F230"/>
  <c r="F24"/>
  <c r="F229"/>
  <c r="F228"/>
  <c r="F227"/>
  <c r="F226"/>
  <c r="F225"/>
  <c r="F224"/>
  <c r="F223"/>
  <c r="F23"/>
  <c r="F222"/>
  <c r="F221"/>
  <c r="F220"/>
  <c r="F219"/>
  <c r="F218"/>
  <c r="F217"/>
  <c r="F216"/>
  <c r="F215"/>
  <c r="F22"/>
  <c r="F214"/>
  <c r="F213"/>
  <c r="F212"/>
  <c r="F211"/>
  <c r="F210"/>
  <c r="F21"/>
  <c r="F209"/>
  <c r="F208"/>
  <c r="F207"/>
  <c r="F206"/>
  <c r="F205"/>
  <c r="F20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9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8"/>
  <c r="F148"/>
  <c r="F147"/>
  <c r="F146"/>
  <c r="F145"/>
  <c r="F144"/>
  <c r="F143"/>
  <c r="F142"/>
  <c r="F141"/>
  <c r="F140"/>
  <c r="F139"/>
  <c r="F138"/>
  <c r="F137"/>
  <c r="F136"/>
  <c r="F135"/>
  <c r="F134"/>
  <c r="F133"/>
  <c r="F17"/>
  <c r="F132"/>
  <c r="F131"/>
  <c r="F130"/>
  <c r="F129"/>
  <c r="F128"/>
  <c r="F16"/>
  <c r="F127"/>
  <c r="F126"/>
  <c r="F125"/>
  <c r="F124"/>
  <c r="F123"/>
  <c r="F122"/>
  <c r="F121"/>
  <c r="F120"/>
  <c r="F119"/>
  <c r="F118"/>
  <c r="F117"/>
  <c r="F116"/>
  <c r="F115"/>
  <c r="F15"/>
  <c r="F2"/>
  <c r="F114"/>
  <c r="F113"/>
  <c r="F112"/>
  <c r="F111"/>
  <c r="F110"/>
  <c r="F109"/>
  <c r="F108"/>
  <c r="F107"/>
  <c r="F106"/>
  <c r="F105"/>
  <c r="F104"/>
  <c r="F103"/>
  <c r="F102"/>
  <c r="F101"/>
  <c r="F14"/>
  <c r="F100"/>
  <c r="F99"/>
  <c r="F98"/>
  <c r="F97"/>
  <c r="F96"/>
  <c r="F95"/>
  <c r="F13"/>
  <c r="F94"/>
  <c r="F93"/>
  <c r="F92"/>
  <c r="F12"/>
  <c r="F91"/>
  <c r="F90"/>
  <c r="F89"/>
  <c r="F88"/>
  <c r="F87"/>
  <c r="F86"/>
  <c r="F85"/>
  <c r="F84"/>
  <c r="F83"/>
  <c r="F82"/>
  <c r="F81"/>
  <c r="F80"/>
  <c r="F11"/>
  <c r="F79"/>
  <c r="F78"/>
  <c r="F10"/>
  <c r="F77"/>
  <c r="F76"/>
  <c r="F75"/>
  <c r="F74"/>
  <c r="F73"/>
  <c r="F72"/>
  <c r="F71"/>
  <c r="F70"/>
  <c r="F9"/>
  <c r="F69"/>
  <c r="F68"/>
  <c r="F67"/>
  <c r="F66"/>
  <c r="F65"/>
  <c r="F64"/>
  <c r="F63"/>
  <c r="F8"/>
  <c r="F62"/>
  <c r="F61"/>
  <c r="F60"/>
  <c r="F59"/>
  <c r="F58"/>
  <c r="F57"/>
  <c r="F56"/>
  <c r="F7"/>
  <c r="A7"/>
  <c r="A56"/>
  <c r="A57"/>
  <c r="A58"/>
  <c r="A59"/>
  <c r="A60"/>
  <c r="A61"/>
  <c r="A62"/>
  <c r="A8"/>
  <c r="A63"/>
  <c r="A64"/>
  <c r="A65"/>
  <c r="A66"/>
  <c r="A67"/>
  <c r="A68"/>
  <c r="A69"/>
  <c r="A9"/>
  <c r="A70"/>
  <c r="A71"/>
  <c r="A72"/>
  <c r="A73"/>
  <c r="A74"/>
  <c r="A75"/>
  <c r="A76"/>
  <c r="A77"/>
  <c r="A10"/>
  <c r="A78"/>
  <c r="A79"/>
  <c r="A11"/>
  <c r="A80"/>
  <c r="A81"/>
  <c r="A82"/>
  <c r="A83"/>
  <c r="A84"/>
  <c r="A85"/>
  <c r="A86"/>
  <c r="A87"/>
  <c r="A88"/>
  <c r="A89"/>
  <c r="A90"/>
  <c r="A91"/>
  <c r="A12"/>
  <c r="A92"/>
  <c r="A93"/>
  <c r="A94"/>
  <c r="A13"/>
  <c r="A95"/>
  <c r="A96"/>
  <c r="A97"/>
  <c r="A98"/>
  <c r="A99"/>
  <c r="A100"/>
  <c r="A14"/>
  <c r="A101"/>
  <c r="A102"/>
  <c r="A103"/>
  <c r="A104"/>
  <c r="A105"/>
  <c r="A106"/>
  <c r="A107"/>
  <c r="A108"/>
  <c r="A109"/>
  <c r="A110"/>
  <c r="A111"/>
  <c r="A112"/>
  <c r="A113"/>
  <c r="A114"/>
  <c r="A2"/>
  <c r="A15"/>
  <c r="A115"/>
  <c r="A116"/>
  <c r="A117"/>
  <c r="A118"/>
  <c r="A119"/>
  <c r="A120"/>
  <c r="A121"/>
  <c r="A122"/>
  <c r="A123"/>
  <c r="A124"/>
  <c r="A125"/>
  <c r="A126"/>
  <c r="A127"/>
  <c r="A16"/>
  <c r="A128"/>
  <c r="A129"/>
  <c r="A130"/>
  <c r="A131"/>
  <c r="A132"/>
  <c r="A17"/>
  <c r="A133"/>
  <c r="A134"/>
  <c r="A135"/>
  <c r="A136"/>
  <c r="A137"/>
  <c r="A138"/>
  <c r="A139"/>
  <c r="A140"/>
  <c r="A141"/>
  <c r="A142"/>
  <c r="A143"/>
  <c r="A144"/>
  <c r="A145"/>
  <c r="A146"/>
  <c r="A147"/>
  <c r="A148"/>
  <c r="A1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80"/>
  <c r="A19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"/>
  <c r="A205"/>
  <c r="A206"/>
  <c r="A207"/>
  <c r="A208"/>
  <c r="A209"/>
  <c r="A21"/>
  <c r="A210"/>
  <c r="A211"/>
  <c r="A212"/>
  <c r="A213"/>
  <c r="A214"/>
  <c r="A22"/>
  <c r="A215"/>
  <c r="A216"/>
  <c r="A217"/>
  <c r="A218"/>
  <c r="A219"/>
  <c r="A220"/>
  <c r="A221"/>
  <c r="A222"/>
  <c r="A23"/>
  <c r="A223"/>
  <c r="A224"/>
  <c r="A225"/>
  <c r="A226"/>
  <c r="A227"/>
  <c r="A228"/>
  <c r="A229"/>
  <c r="A24"/>
  <c r="A230"/>
  <c r="A231"/>
  <c r="A232"/>
  <c r="A25"/>
  <c r="A233"/>
  <c r="A234"/>
  <c r="A235"/>
  <c r="A236"/>
  <c r="A237"/>
  <c r="A238"/>
  <c r="A239"/>
  <c r="A240"/>
  <c r="A26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7"/>
  <c r="A267"/>
  <c r="A268"/>
  <c r="A269"/>
  <c r="A270"/>
  <c r="A271"/>
  <c r="A272"/>
  <c r="A273"/>
  <c r="A28"/>
  <c r="A274"/>
  <c r="A275"/>
  <c r="A276"/>
  <c r="A277"/>
  <c r="A278"/>
  <c r="A279"/>
  <c r="A280"/>
  <c r="A281"/>
  <c r="A282"/>
  <c r="A283"/>
  <c r="A284"/>
  <c r="A285"/>
  <c r="A286"/>
  <c r="A287"/>
  <c r="A29"/>
  <c r="A288"/>
  <c r="A289"/>
  <c r="A290"/>
  <c r="A30"/>
  <c r="A291"/>
  <c r="A292"/>
  <c r="A293"/>
  <c r="A294"/>
  <c r="A295"/>
  <c r="A296"/>
  <c r="A297"/>
  <c r="A298"/>
  <c r="A299"/>
  <c r="A300"/>
  <c r="A301"/>
  <c r="A3"/>
  <c r="A31"/>
  <c r="A302"/>
  <c r="A303"/>
  <c r="A304"/>
  <c r="A305"/>
  <c r="A306"/>
  <c r="A32"/>
  <c r="A307"/>
  <c r="A308"/>
  <c r="A310"/>
  <c r="A311"/>
  <c r="A33"/>
  <c r="A312"/>
  <c r="A313"/>
  <c r="A314"/>
  <c r="A315"/>
  <c r="A316"/>
  <c r="A317"/>
  <c r="A318"/>
  <c r="A34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5"/>
  <c r="A361"/>
  <c r="A362"/>
  <c r="A363"/>
  <c r="A364"/>
  <c r="A365"/>
  <c r="A366"/>
  <c r="A367"/>
  <c r="A368"/>
  <c r="A369"/>
  <c r="A370"/>
  <c r="A371"/>
  <c r="A4"/>
  <c r="A36"/>
  <c r="A37"/>
  <c r="A38"/>
  <c r="A39"/>
  <c r="A40"/>
  <c r="A41"/>
  <c r="A42"/>
  <c r="A43"/>
  <c r="A44"/>
  <c r="A45"/>
  <c r="A46"/>
  <c r="A5"/>
  <c r="A47"/>
  <c r="A48"/>
  <c r="A49"/>
  <c r="A50"/>
  <c r="A51"/>
  <c r="A52"/>
  <c r="A6"/>
  <c r="A53"/>
  <c r="A54"/>
  <c r="A55"/>
</calcChain>
</file>

<file path=xl/sharedStrings.xml><?xml version="1.0" encoding="utf-8"?>
<sst xmlns="http://schemas.openxmlformats.org/spreadsheetml/2006/main" count="19265" uniqueCount="1363">
  <si>
    <t>First residue</t>
  </si>
  <si>
    <t>Seq size</t>
  </si>
  <si>
    <t>Description</t>
  </si>
  <si>
    <t>%X</t>
  </si>
  <si>
    <t>14 N's?</t>
  </si>
  <si>
    <t>ATG?</t>
  </si>
  <si>
    <t>*</t>
  </si>
  <si>
    <t>M</t>
  </si>
  <si>
    <t xml:space="preserve"> </t>
  </si>
  <si>
    <t>D</t>
  </si>
  <si>
    <t>F</t>
  </si>
  <si>
    <t>L</t>
  </si>
  <si>
    <t>K</t>
  </si>
  <si>
    <t>N</t>
  </si>
  <si>
    <t>H</t>
  </si>
  <si>
    <t>R</t>
  </si>
  <si>
    <t>S</t>
  </si>
  <si>
    <t>C</t>
  </si>
  <si>
    <t>T</t>
  </si>
  <si>
    <t>P</t>
  </si>
  <si>
    <t>E</t>
  </si>
  <si>
    <t>W</t>
  </si>
  <si>
    <t>G</t>
  </si>
  <si>
    <t>V</t>
  </si>
  <si>
    <t>Y</t>
  </si>
  <si>
    <t>Q</t>
  </si>
  <si>
    <t>A</t>
  </si>
  <si>
    <t>I</t>
  </si>
  <si>
    <t>X</t>
  </si>
  <si>
    <t>ATG</t>
  </si>
  <si>
    <t>CDS name</t>
  </si>
  <si>
    <t>Protein name</t>
  </si>
  <si>
    <t>Order Number</t>
  </si>
  <si>
    <t>Best match to SWISSP protein database</t>
  </si>
  <si>
    <t>E value</t>
  </si>
  <si>
    <t>Match</t>
  </si>
  <si>
    <t>Score</t>
  </si>
  <si>
    <t>Extent of match</t>
  </si>
  <si>
    <t>Length of best match</t>
  </si>
  <si>
    <t>% identity</t>
  </si>
  <si>
    <t>% Coverage</t>
  </si>
  <si>
    <t>Mismatches</t>
  </si>
  <si>
    <t>Gaps</t>
  </si>
  <si>
    <t>First residue of match</t>
  </si>
  <si>
    <t>First residue of sequence</t>
  </si>
  <si>
    <t>Number of segments</t>
  </si>
  <si>
    <t>Frame</t>
  </si>
  <si>
    <t>Frame shift?</t>
  </si>
  <si>
    <t>Orientation</t>
  </si>
  <si>
    <t>Species of best match</t>
  </si>
  <si>
    <t>sp|Q9V7S5|PICO_DROME</t>
  </si>
  <si>
    <t>FOR</t>
  </si>
  <si>
    <t>Drosophila melanogaster</t>
  </si>
  <si>
    <t>sp|Q68HB4|PROF_BOMMO</t>
  </si>
  <si>
    <t>Bombyx mori</t>
  </si>
  <si>
    <t>sp|B6I9Q8|TREA_ECOSE</t>
  </si>
  <si>
    <t>Escherichia coli (strain SE11)</t>
  </si>
  <si>
    <t>sp|Q962Q8|RS21_SPOFR</t>
  </si>
  <si>
    <t>Spodoptera frugiperda</t>
  </si>
  <si>
    <t>sp|Q94554|ER_DROVI</t>
  </si>
  <si>
    <t>Drosophila virilis</t>
  </si>
  <si>
    <t>sp|P68202|RS27A_PLUXY</t>
  </si>
  <si>
    <t>Plutella xylostella</t>
  </si>
  <si>
    <t>sp|Q9N2I8|TRXR2_BOVIN</t>
  </si>
  <si>
    <t>Bos taurus</t>
  </si>
  <si>
    <t>sp|P98021|COX2_SIMVI</t>
  </si>
  <si>
    <t>Simulium vittatum</t>
  </si>
  <si>
    <t>sp|Q7Z429|GRINA_HUMAN</t>
  </si>
  <si>
    <t>Homo sapiens</t>
  </si>
  <si>
    <t>sp|O93428|CATD_CHIHA</t>
  </si>
  <si>
    <t>Chionodraco hamatus</t>
  </si>
  <si>
    <t>sp|Q9N0J9|CD81_SAGOE</t>
  </si>
  <si>
    <t>Saguinus oedipus</t>
  </si>
  <si>
    <t>sp|P28075|PSB5_RAT</t>
  </si>
  <si>
    <t>Rattus norvegicus</t>
  </si>
  <si>
    <t>sp|P13080|MALT_AEDAE</t>
  </si>
  <si>
    <t>Aedes aegypti</t>
  </si>
  <si>
    <t>sp|Q9I7K0|JUPIT_DROME</t>
  </si>
  <si>
    <t>sp|Q6XHI1|THIO2_DROYA</t>
  </si>
  <si>
    <t>Drosophila yakuba</t>
  </si>
  <si>
    <t>sp|Q5SZD4|GLYL3_HUMAN</t>
  </si>
  <si>
    <t>sp|Q9NHW7|AQP_AEDAE</t>
  </si>
  <si>
    <t>sp|O61367|KARG_APIME</t>
  </si>
  <si>
    <t>Apis mellifera</t>
  </si>
  <si>
    <t>sp|Q6GMF8|RHDF1_DANRE</t>
  </si>
  <si>
    <t>Danio rerio</t>
  </si>
  <si>
    <t>sp|Q8VCC1|PGDH_MOUSE</t>
  </si>
  <si>
    <t>Mus musculus</t>
  </si>
  <si>
    <t>sp|Q6QMZ4|RL6_CHILA</t>
  </si>
  <si>
    <t>Chinchilla lanigera</t>
  </si>
  <si>
    <t>sp|Q9U3U0|RLA0_CERCA</t>
  </si>
  <si>
    <t>Ceratitis capitata</t>
  </si>
  <si>
    <t>sp|P13418|POLS_CRPVC</t>
  </si>
  <si>
    <t>Cricket paralysis virus (isolate Teleogryllus commodus/Australia/CrPVVIC/1968)</t>
  </si>
  <si>
    <t>sp|D4DEN7|CARP_TRIVH</t>
  </si>
  <si>
    <t>Trichophyton verrucosum (strain HKI 0517)</t>
  </si>
  <si>
    <t>sp|Q9VYY9|Y1727_DROME</t>
  </si>
  <si>
    <t>sp|P49867|FTZF1_BOMMO</t>
  </si>
  <si>
    <t>sp|Q9Y383|LC7L2_HUMAN</t>
  </si>
  <si>
    <t>sp|Q5M8Y1|SPCS2_XENTR</t>
  </si>
  <si>
    <t>Xenopus tropicalis</t>
  </si>
  <si>
    <t>sp|O61443|MK14B_DROME</t>
  </si>
  <si>
    <t>sp|Q0P4G7|DOXA1_XENTR</t>
  </si>
  <si>
    <t>sp|Q03168|ASPP_AEDAE</t>
  </si>
  <si>
    <t>sp|P98092|HMCT_BOMMO</t>
  </si>
  <si>
    <t>sp|Q9CY27|TECR_MOUSE</t>
  </si>
  <si>
    <t>sp|Q28XY0|FL2D_DROPS</t>
  </si>
  <si>
    <t>Drosophila pseudoobscura pseudoobscura</t>
  </si>
  <si>
    <t>sp|Q962S0|RS7_SPOFR</t>
  </si>
  <si>
    <t>sp|Q7PRJ0|CTLH2_ANOGA</t>
  </si>
  <si>
    <t>Anopheles gambiae</t>
  </si>
  <si>
    <t>sp|Q2KIP8|HACD2_BOVIN</t>
  </si>
  <si>
    <t>sp|P32755|HPPD_RAT</t>
  </si>
  <si>
    <t>sp|P31007|DLG1_DROME</t>
  </si>
  <si>
    <t>sp|P07192|MAL3_DROME</t>
  </si>
  <si>
    <t>sp|Q5BK07|CCD43_RAT</t>
  </si>
  <si>
    <t>sp|Q8N3X1|FNBP4_HUMAN</t>
  </si>
  <si>
    <t>sp|Q8I7P9|POL5_DROME</t>
  </si>
  <si>
    <t>sp|Q9V9Z9|EBP2_DROME</t>
  </si>
  <si>
    <t>sp|Q9NU22|MDN1_HUMAN</t>
  </si>
  <si>
    <t>sp|Q5RFH0|ATP5L_PONAB</t>
  </si>
  <si>
    <t>Pongo abelii</t>
  </si>
  <si>
    <t>sp|Q62730|DHB2_RAT</t>
  </si>
  <si>
    <t>sp|P38942|CAT2_CLOK5</t>
  </si>
  <si>
    <t>Clostridium kluyveri (strain ATCC 8527 / DSM 555 / NCIMB 10680)</t>
  </si>
  <si>
    <t>sp|Q05744|CATD_CHICK</t>
  </si>
  <si>
    <t>Gallus gallus</t>
  </si>
  <si>
    <t>sp|P07909|ROA1_DROME</t>
  </si>
  <si>
    <t>sp|Q8BH69|SPS1_MOUSE</t>
  </si>
  <si>
    <t>sp|Q04552|CP6B1_PAPPO</t>
  </si>
  <si>
    <t>Papilio polyxenes</t>
  </si>
  <si>
    <t>sp|Q60WU2|SYB1_CAEBR</t>
  </si>
  <si>
    <t>Caenorhabditis briggsae</t>
  </si>
  <si>
    <t>sp|Q7TS72|IP3KC_MOUSE</t>
  </si>
  <si>
    <t>sp|Q5R4X4|SSRA_PONAB</t>
  </si>
  <si>
    <t>sp|Q8C419|GP158_MOUSE</t>
  </si>
  <si>
    <t>sp|Q5DC69|CH10_SCHJA</t>
  </si>
  <si>
    <t>Schistosoma japonicum</t>
  </si>
  <si>
    <t>sp|Q96NA8|TSNA1_HUMAN</t>
  </si>
  <si>
    <t>sp|P18932|NU5M_DROME</t>
  </si>
  <si>
    <t>sp|O16099|MAL2_DROVI</t>
  </si>
  <si>
    <t>sp|Q5NVM7|S61A2_PONAB</t>
  </si>
  <si>
    <t>sp|P33502|NU1M_ANOQU</t>
  </si>
  <si>
    <t>Anopheles quadrimaculatus</t>
  </si>
  <si>
    <t>sp|Q9V4U7|C6A14_DROME</t>
  </si>
  <si>
    <t>sp|B4JB43|EIF3I_DROGR</t>
  </si>
  <si>
    <t>Drosophila grimshawi</t>
  </si>
  <si>
    <t>sp|Q06151|DCPS_YEAST</t>
  </si>
  <si>
    <t>Saccharomyces cerevisiae (strain ATCC 204508 / S288c)</t>
  </si>
  <si>
    <t>sp|Q7ZV82|RL27_DANRE</t>
  </si>
  <si>
    <t>sp|Q659A1|NARG2_HUMAN</t>
  </si>
  <si>
    <t>sp|Q9H2Y9|SO5A1_HUMAN</t>
  </si>
  <si>
    <t>sp|Q7Z1B8|S61G1_GRYOR</t>
  </si>
  <si>
    <t>Gryllotalpa orientalis</t>
  </si>
  <si>
    <t>sp|Q24439|ATPO_DROME</t>
  </si>
  <si>
    <t>sp|Q9VV43|Y4893_DROME</t>
  </si>
  <si>
    <t>sp|Q9NX36|DJC28_HUMAN</t>
  </si>
  <si>
    <t>sp|P40423|SQH_DROME</t>
  </si>
  <si>
    <t>sp|O74503|UAF30_SCHPO</t>
  </si>
  <si>
    <t>Schizosaccharomyces pombe (strain ATCC 38366 / 972)</t>
  </si>
  <si>
    <t>sp|Q66KC4|HSDL2_XENTR</t>
  </si>
  <si>
    <t>sp|P01942|HBA_MOUSE</t>
  </si>
  <si>
    <t>sp|P21127|CD11B_HUMAN</t>
  </si>
  <si>
    <t>sp|P02255|H1_DROME</t>
  </si>
  <si>
    <t>sp|Q6DV01|SYF2_GECJA</t>
  </si>
  <si>
    <t>Gecko japonicus</t>
  </si>
  <si>
    <t>sp|Q83034|POLG_RTSVA</t>
  </si>
  <si>
    <t>Rice tungro spherical virus (strain A)</t>
  </si>
  <si>
    <t>sp|Q17005|LYSC1_ANOGA</t>
  </si>
  <si>
    <t>sp|O96790|DPGN_DIPMA</t>
  </si>
  <si>
    <t>Dipetalogaster maximus</t>
  </si>
  <si>
    <t>sp|Q9GV27|EIF3H_BOMMO</t>
  </si>
  <si>
    <t>sp|Q6DC39|PPDE1_DANRE</t>
  </si>
  <si>
    <t>sp|P14130|RS14_DROME</t>
  </si>
  <si>
    <t>sp|Q568N4|TIM9B_DANRE</t>
  </si>
  <si>
    <t>sp|Q4GXU6|RS4_CARGR</t>
  </si>
  <si>
    <t>Carabus granulatus</t>
  </si>
  <si>
    <t>sp|Q9NYU1|UGGG2_HUMAN</t>
  </si>
  <si>
    <t>sp|Q5RBL6|GOSR1_PONAB</t>
  </si>
  <si>
    <t>sp|Q9D1C8|VPS28_MOUSE</t>
  </si>
  <si>
    <t>sp|Q6GMR7|FAAH2_HUMAN</t>
  </si>
  <si>
    <t>sp|Q292F9|GDAP2_DROPS</t>
  </si>
  <si>
    <t>sp|Q9W4L1|RM33_DROME</t>
  </si>
  <si>
    <t>sp|P12749|RL26_RAT</t>
  </si>
  <si>
    <t>sp|P54985|PPIA_BLAGE</t>
  </si>
  <si>
    <t>Blattella germanica</t>
  </si>
  <si>
    <t>sp|O99819|COX2_RHISA</t>
  </si>
  <si>
    <t>Rhipicephalus sanguineus</t>
  </si>
  <si>
    <t>sp|Q76B49|CD63_FELCA</t>
  </si>
  <si>
    <t>Felis catus</t>
  </si>
  <si>
    <t>sp|Q32KN8|TBA3_BOVIN</t>
  </si>
  <si>
    <t>sp|O99825|NU4M_RHISA</t>
  </si>
  <si>
    <t>sp|B0FWD3|NU5M_AEDAE</t>
  </si>
  <si>
    <t>sp|O17449|TBB1_MANSE</t>
  </si>
  <si>
    <t>Manduca sexta</t>
  </si>
  <si>
    <t>sp|P62950|BLCAP_RAT</t>
  </si>
  <si>
    <t>sp|Q2F637|1433Z_BOMMO</t>
  </si>
  <si>
    <t>sp|P08736|EF1A1_DROME</t>
  </si>
  <si>
    <t>sp|P25867|UBCD1_DROME</t>
  </si>
  <si>
    <t>sp|Q5XGE9|LIPH_XENTR</t>
  </si>
  <si>
    <t>sp|Q5XUC7|RL5_TOXCI</t>
  </si>
  <si>
    <t>Toxoptera citricida</t>
  </si>
  <si>
    <t>sp|Q9U639|HSP7D_MANSE</t>
  </si>
  <si>
    <t>sp|Q5FVQ4|MLEC_RAT</t>
  </si>
  <si>
    <t>sp|P55745|RAB21_CANFA</t>
  </si>
  <si>
    <t>Canis familiaris</t>
  </si>
  <si>
    <t>sp|Q7KRI2|LOLAL_DROME</t>
  </si>
  <si>
    <t>sp|Q53CF6|CX7A1_SAISC</t>
  </si>
  <si>
    <t>Saimiri sciureus</t>
  </si>
  <si>
    <t>sp|P82251|BAT1_HUMAN</t>
  </si>
  <si>
    <t>sp|P17336|CATA_DROME</t>
  </si>
  <si>
    <t>sp|Q9VMU4|RL37A_DROME</t>
  </si>
  <si>
    <t>sp|P01042|KNG1_HUMAN</t>
  </si>
  <si>
    <t>sp|Q91572|CPE1A_XENLA</t>
  </si>
  <si>
    <t>Xenopus laevis</t>
  </si>
  <si>
    <t>sp|P55088|AQP4_MOUSE</t>
  </si>
  <si>
    <t>sp|Q9V3B6|CWC15_DROME</t>
  </si>
  <si>
    <t>sp|P98157|LRP1_CHICK</t>
  </si>
  <si>
    <t>sp|Q962Q5|RS25_SPOFR</t>
  </si>
  <si>
    <t>sp|Q8SPI0|APOD_MACFA</t>
  </si>
  <si>
    <t>Macaca fascicularis</t>
  </si>
  <si>
    <t>sp|P05552|ADF1_DROME</t>
  </si>
  <si>
    <t>sp|Q86SZ2|TPC6B_HUMAN</t>
  </si>
  <si>
    <t>sp|P33505|COX2_ANOQU</t>
  </si>
  <si>
    <t>sp|Q950C7|CYB_CORBR</t>
  </si>
  <si>
    <t>Corvus brachyrhynchos</t>
  </si>
  <si>
    <t>sp|P37364|DEFI_PYRAP</t>
  </si>
  <si>
    <t>Pyrrhocoris apterus</t>
  </si>
  <si>
    <t>sp|Q27562|PSA1_DICDI</t>
  </si>
  <si>
    <t>Dictyostelium discoideum</t>
  </si>
  <si>
    <t>sp|O36966|POLN_DCVEB</t>
  </si>
  <si>
    <t>Drosophila C virus (strain EB)</t>
  </si>
  <si>
    <t>sp|P00940|TPIS_CHICK</t>
  </si>
  <si>
    <t>sp|P16116|ALDR_BOVIN</t>
  </si>
  <si>
    <t>sp|Q5R8K6|RL35A_PONAB</t>
  </si>
  <si>
    <t>sp|P41496|FABPM_SCHGR</t>
  </si>
  <si>
    <t>Schistocerca gregaria</t>
  </si>
  <si>
    <t>sp|P84185|ACT5C_ANOGA</t>
  </si>
  <si>
    <t>sp|Q8BG94|COMD7_MOUSE</t>
  </si>
  <si>
    <t>sp|Q9V3U2|NHP2_DROME</t>
  </si>
  <si>
    <t>sp|P45594|CADF_DROME</t>
  </si>
  <si>
    <t>sp|P82147|L2EFL_DROME</t>
  </si>
  <si>
    <t>sp|P07339|CATD_HUMAN</t>
  </si>
  <si>
    <t>sp|Q962Q7|RS23_SPOFR</t>
  </si>
  <si>
    <t>sp|O76756|RS8_APIME</t>
  </si>
  <si>
    <t>sp|Q0I740|UPPP_SYNS3</t>
  </si>
  <si>
    <t>Synechococcus sp. (strain CC9311)</t>
  </si>
  <si>
    <t>sp|P31727|CYTA_SARPE</t>
  </si>
  <si>
    <t>Sarcophaga peregrina</t>
  </si>
  <si>
    <t>sp|Q8TGM7|ART2_YEAST</t>
  </si>
  <si>
    <t>sp|Q95704|NU2M_HYLLA</t>
  </si>
  <si>
    <t>Hylobates lar</t>
  </si>
  <si>
    <t>sp|P91798|KARG_SCHAM</t>
  </si>
  <si>
    <t>Schistocerca americana</t>
  </si>
  <si>
    <t>sp|Q27049|TRIA_TRIPA</t>
  </si>
  <si>
    <t>Triatoma pallidipennis</t>
  </si>
  <si>
    <t>sp|A8E7I5|TTC36_DANRE</t>
  </si>
  <si>
    <t>sp|Q8N2K1|UB2J2_HUMAN</t>
  </si>
  <si>
    <t>sp|Q1HRS5|ATP6_AEDAE</t>
  </si>
  <si>
    <t>sp|P00850|ATP6_DROME</t>
  </si>
  <si>
    <t>sp|Q10055|FAL1_SCHPO</t>
  </si>
  <si>
    <t>sp|Q8IXM2|BAP18_HUMAN</t>
  </si>
  <si>
    <t>Best match to NR-LIGHT protein database</t>
  </si>
  <si>
    <t>Culex quinquefasciatus</t>
  </si>
  <si>
    <t>Acyrthosiphon pisum</t>
  </si>
  <si>
    <t>Schistosoma mansoni</t>
  </si>
  <si>
    <t>Tribolium castaneum</t>
  </si>
  <si>
    <t>Escherichia coli OP50</t>
  </si>
  <si>
    <t>Pediculus humanus corporis</t>
  </si>
  <si>
    <t>Triatoma virus</t>
  </si>
  <si>
    <t>Daphnia pulex</t>
  </si>
  <si>
    <t>Anopheles darlingi</t>
  </si>
  <si>
    <t>Triatoma dimidiata</t>
  </si>
  <si>
    <t>Triatoma infestans</t>
  </si>
  <si>
    <t>Nasonia vitripennis</t>
  </si>
  <si>
    <t>Anopheles gambiae str. PEST</t>
  </si>
  <si>
    <t>Fowlpox virus</t>
  </si>
  <si>
    <t>synthetic construct</t>
  </si>
  <si>
    <t>Triatoma matogrossensis</t>
  </si>
  <si>
    <t>Triatoma vitticeps</t>
  </si>
  <si>
    <t>Cimex lectularius</t>
  </si>
  <si>
    <t>Ixodes scapularis</t>
  </si>
  <si>
    <t>Plasmodium falciparum 3D7</t>
  </si>
  <si>
    <t>Sus scrofa</t>
  </si>
  <si>
    <t>Brugia malayi</t>
  </si>
  <si>
    <t>Triatoma brasiliensis</t>
  </si>
  <si>
    <t>Slow bee paralysis virus</t>
  </si>
  <si>
    <t>Ciona intestinalis</t>
  </si>
  <si>
    <t>Strongylocentrotus purpuratus</t>
  </si>
  <si>
    <t>Streptococcus sp. M334</t>
  </si>
  <si>
    <t>Caenorhabditis elegans</t>
  </si>
  <si>
    <t>Arabidopsis thaliana</t>
  </si>
  <si>
    <t>Phlebotomus papatasi</t>
  </si>
  <si>
    <t>Amblyomma triguttatum</t>
  </si>
  <si>
    <t>Acromyrmex echinatior</t>
  </si>
  <si>
    <t>Glossina morsitans morsitans</t>
  </si>
  <si>
    <t>Plasmodium vivax</t>
  </si>
  <si>
    <t>Hyalomma marginatum rufipes</t>
  </si>
  <si>
    <t>Streptomyces violaceusniger Tu 4113</t>
  </si>
  <si>
    <t>Toxoplasma gondii GT1</t>
  </si>
  <si>
    <t>Pseudomonas syringae pv. tomato NCPPB 1108</t>
  </si>
  <si>
    <t>Branchiostoma floridae</t>
  </si>
  <si>
    <t>Rhodnius prolixus</t>
  </si>
  <si>
    <t>Best match to GO database</t>
  </si>
  <si>
    <t>Function descriptors</t>
  </si>
  <si>
    <t>Function parent</t>
  </si>
  <si>
    <t>Function second parent</t>
  </si>
  <si>
    <t>GO #</t>
  </si>
  <si>
    <t>E value of functional GO</t>
  </si>
  <si>
    <t>Component descriptors</t>
  </si>
  <si>
    <t>Component parent</t>
  </si>
  <si>
    <t>Component second parent</t>
  </si>
  <si>
    <t>E value of component GO</t>
  </si>
  <si>
    <t>Process descriptors</t>
  </si>
  <si>
    <t>Process parent</t>
  </si>
  <si>
    <t>Process second parent</t>
  </si>
  <si>
    <t>E value of process GO</t>
  </si>
  <si>
    <t>Picot - Drosophila melanogaster - high affinity inorganic phosphate:sodium symporter activity - phosphate transport - integral to membrane</t>
  </si>
  <si>
    <t>high affinity inorganic phosphate\:sodium symporter activity||sodium\:phosphate symporter activity||phosphate transmembrane transporter activity||inorganic anion transmembrane transporter activity||anion transmembrane transporter activity||ion transmembrane transporter activity||substrate\-specific transmembrane transporter activity||substrate\-specific transporter activity||transporter activity</t>
  </si>
  <si>
    <t>transporter activity</t>
  </si>
  <si>
    <t>substrate\-specific transporter activity</t>
  </si>
  <si>
    <t>GO:0005316</t>
  </si>
  <si>
    <t>integral to membrane||intrinsic to membrane||coated membrane||membrane||cell part</t>
  </si>
  <si>
    <t>cell part</t>
  </si>
  <si>
    <t>membrane</t>
  </si>
  <si>
    <t>GO:0016021</t>
  </si>
  <si>
    <t>phosphate transport||inorganic anion transport||anion transport||ion transport||transport||cellular localization||localization</t>
  </si>
  <si>
    <t>GO:0006817</t>
  </si>
  <si>
    <t>Ribosomal protein LP0 - Drosophila melanogaster - translation - structural constituent of ribosome - cytosolic large ribosomal subunit - DNA repair - DNA-(apurinic or apyrimidinic site) lyase activity - cytoplasm - nucleus - ribosome - lipid particle</t>
  </si>
  <si>
    <t>structural constituent of ribosome||structural molecule activity</t>
  </si>
  <si>
    <t>structural molecule activity</t>
  </si>
  <si>
    <t>structural constituent of ribosome</t>
  </si>
  <si>
    <t>GO:0003735</t>
  </si>
  <si>
    <t>cytosolic large ribosomal subunit||large ribosomal subunit||polysomal ribosome||ribosome||nuclear cyclin\-dependent protein kinase holoenzyme complex||cyclin\-dependent protein kinase holoenzyme complex||outer membrane\-bounded periplasmic space||external encapsulating structure part||cell part</t>
  </si>
  <si>
    <t>external encapsulating structure part</t>
  </si>
  <si>
    <t>GO:0022625</t>
  </si>
  <si>
    <t>&lt;translation||negative regulation of thymidylate synthase biosynthetic process||negative regulation of antibody\-dependent cellular cytotoxicity||positive regulation of stress\-activated protein kinase signaling pathway||positive regulation of stress\-activated protein kinase signaling pathway||positive regulation of prostaglandin biosynthetic process||positive regulation of abscisic acid biosynthetic process||positive regulation of abscisic acid biosynthetic process||negative regulation of thiamin diphosphate biosynthetic process</t>
  </si>
  <si>
    <t>GO:0006412</t>
  </si>
  <si>
    <t>chickadee - Drosophila melanogaster - ovarian nurse cell to oocyte transport - spermatogenesis - protein binding - actin polymerization or depolymerization - actin binding - phosphatidylinositol-4,5-bisphosphate binding - brain development - larval central nervous system remodeling - actin filament organization - pole plasm oskar mRNA localization - dorsal closure - actin filament polymerization - cytokinesis, contractile ring formation - cell morphogenesis - cytokinesis - karyosome formation - maintenance of protein location in cell - histoblast morphogenesis</t>
  </si>
  <si>
    <t>protein binding||binding</t>
  </si>
  <si>
    <t>binding</t>
  </si>
  <si>
    <t>protein binding</t>
  </si>
  <si>
    <t>GO:0005515</t>
  </si>
  <si>
    <t>&lt;ovarian nurse cell to oocyte transport||spermatid nucleus differentiation||oocyte morphogenesis||elevation of cytosolic calcium ion concentration involved in egg activation||heteroduplex formation involved in gene conversion at mating\-type locus||heteroduplex formation involved in gene conversion at mating\-type locus||heteroduplex formation involved in gene conversion at mating\-type locus||activation of prostate induction by androgen receptor signaling pathway||mesenchymal\-epithelial cell signaling involved in prostate induction||negative regulation of induction of conjugation with cellular fusion||mesenchymal\-epithelial cell signaling involved in prostate induction||mesenchymal\-epithelial cell signaling involved in prostate induction||regulation of vasodilation||primary ovarian follicle growth during double layer follicle stage||bud dilation involved in lung branching||efferent axon development in the posterior lateral line nerve||posterior lateral line neuromast hair cell differentiation||anterior lateral line neuromast hair cell differentiation||anterior lateral line neuromast hair cell differentiation||myoblast fusion involved in skeletal muscle regeneration||cell\-cell adhesion involved in neural tube closure||branching involved in mammary gland cord morphogenesis||branch elongation involved in ureteric bud branching||dorsal closure\, leading edge cell fate commitment||regulation of mesodermal cell fate specification||regulation of striated muscle cell differentiation||dorsal closure\, spreading of leading edge cells||regulation of atrichoblast fate specification||regulation of atrichoblast fate specification||nose morphogenesis||regulation of trichoblast fate specification||proboscis morphogenesis\, labial disc\-derived||regulation of lamellocyte differentiation||regulation of granulocyte differentiation||regulation of osteoclast differentiation||regulation of mast cell differentiation||regulation of central B cell anergy||regulation of Malpighian tubule size||post\-embryonic foregut morphogenesis||prostate epithelial cord elongation||prostate gland stromal morphogenesis||rhombomere structural organization||pial surface process extension||anterior commissure morphogenesis||orbitofrontal cortex development||forebrain astrocyte development||interkinetic nuclear migration||forebrain neuron development||anterior neuropore closure||third ventricle development||rhombomere cell migration||rhombomere 8 formation||hippocampus development||astrocyte differentiation||thyroid gland development||hindgut morphogenesis||spinal cord patterning||pons morphogenesis||pons morphogenesis||brain morphogenesis||nectary development||head segmentation||pollen maturation||head involution||dorsal closure||pollen adhesion||diapedesis||seed growth||cornification||innervation</t>
  </si>
  <si>
    <t>GO:0007300</t>
  </si>
  <si>
    <t>catalytic activity</t>
  </si>
  <si>
    <t>transferase activity</t>
  </si>
  <si>
    <t>trehalase - Coxiella burnetii RSA 493 - alpha,alpha-trehalase activity - trehalose metabolic process</t>
  </si>
  <si>
    <t>alpha\,alpha\-trehalase activity||trehalase activity||hydrolase activity\, hydrolyzing O\-glycosyl compounds||hydrolase activity\, acting on glycosyl bonds||hydrolase activity||catalytic activity</t>
  </si>
  <si>
    <t>hydrolase activity</t>
  </si>
  <si>
    <t>GO:0004555</t>
  </si>
  <si>
    <t>anchored to plasma membrane||intrinsic to plasma membrane||thylakoid membrane||photosynthetic membrane||membrane||cell part</t>
  </si>
  <si>
    <t>GO:0046658</t>
  </si>
  <si>
    <t>trehalose metabolic process||disaccharide metabolic process||cellular carbohydrate metabolic process||carbohydrate metabolic process||primary metabolic process||metabolic process</t>
  </si>
  <si>
    <t>GO:0005991</t>
  </si>
  <si>
    <t>overgrown hematopoietic organs at 23B - Drosophila melanogaster - lymph gland development - translation - structural constituent of ribosome - cytoplasm - cytosolic small ribosomal subunit - ribosome binding</t>
  </si>
  <si>
    <t>cytoplasm||outer membrane\-bounded periplasmic space||external encapsulating structure part||cell part</t>
  </si>
  <si>
    <t>GO:0005737</t>
  </si>
  <si>
    <t>lymph gland development||masculinization of hermaphrodite soma||hermaphrodite somatic sex determination||gametophyte development||multicellular organismal development||multicellular organismal process</t>
  </si>
  <si>
    <t>GO:0048542</t>
  </si>
  <si>
    <t>enhancer of rudimentary - Drosophila melanogaster - regulation of transcription from RNA polymerase II promoter - transcription regulator activity</t>
  </si>
  <si>
    <t>embryonic development ending in birth or egg hatching||plantlet formation on parent plant||multicellular organism reproduction||multicellular organismal process</t>
  </si>
  <si>
    <t>GO:0009792</t>
  </si>
  <si>
    <t>Ubiquitin-63E - Drosophila melanogaster - protein modification process - response to heat - ubiquitin-dependent protein catabolic process - protein binding - chromatin organization - regulation of transcription, DNA-dependent - response to stress - ribosome biogenesis - cytoplasm - nucleus - cellular process - phagocytosis, engulfment</t>
  </si>
  <si>
    <t>protein modification process||cellular protein metabolic process||cellular biopolymer metabolic process||cellular macromolecule metabolic process||macromolecule metabolic process||metabolic process</t>
  </si>
  <si>
    <t>GO:0006464</t>
  </si>
  <si>
    <t>Thioredoxin reductase-1 - Drosophila melanogaster - glutathione-disulfide reductase activity - cytoplasm - thioredoxin-disulfide reductase activity - protein homodimerization activity - cell redox homeostasis - mitochondrion - antioxidant activity - determination of adult life span</t>
  </si>
  <si>
    <t>glutathione\-disulfide reductase activity||glutathione disulfide oxidoreductase activity||peptide disulfide oxidoreductase activity||disulfide oxidoreductase activity||oxidoreductase activity\, acting on sulfur group of donors||oxidoreductase activity||catalytic activity</t>
  </si>
  <si>
    <t>oxidoreductase activity</t>
  </si>
  <si>
    <t>GO:0004362</t>
  </si>
  <si>
    <t>cell redox homeostasis||cellular homeostasis||homeostatic process||regulation of biological quality||biological regulation</t>
  </si>
  <si>
    <t>GO:0045454</t>
  </si>
  <si>
    <t>mitochondrially encoded cytochrome c oxidase II - Rattus norvegicus - molecular_function - cellular_component - mitochondrion - lactation - response to cold</t>
  </si>
  <si>
    <t>&lt;molecular_function</t>
  </si>
  <si>
    <t>GO:0003674</t>
  </si>
  <si>
    <t>&lt;cellular_component</t>
  </si>
  <si>
    <t>GO:0005575</t>
  </si>
  <si>
    <t>&lt;lactation||mammary gland bud formation||lateral ventricle development||fourth ventricle development||pontine nucleus development||rhombomere cell migration||rhombomere 8 formation||hippocampus development||astrocyte activation||neuron differentiation||neural tube patterning||roof plate formation||neuropore closure||pons formation||pons formation||brain development||pons maturation||system development||eclosion rhythm||pollen adhesion||diapedesis||seed growth||cornification||innervation</t>
  </si>
  <si>
    <t>GO:0007595</t>
  </si>
  <si>
    <t>zgc:92664 - Danio rerio - biological_process - cellular_component - molecular_function</t>
  </si>
  <si>
    <t>&lt;biological_process</t>
  </si>
  <si>
    <t>GO:0008150</t>
  </si>
  <si>
    <t>CG3814 - Drosophila melanogaster - N-methyl-D-aspartate selective glutamate receptor activity - N-methyl-D-aspartate selective glutamate receptor complex</t>
  </si>
  <si>
    <t>CG10527 - Drosophila melanogaster - farnesoic acid O-methyltransferase activity</t>
  </si>
  <si>
    <t>farnesoic acid O\-methyltransferase activity||S\-adenosylmethionine\-dependent methyltransferase activity||methyltransferase activity||transferase activity\, transferring one\-carbon groups||transferase activity||catalytic activity</t>
  </si>
  <si>
    <t>GO:0019010</t>
  </si>
  <si>
    <t>cathepsin D - Rattus norvegicus - autophagic vacuole formation - endopeptidase activity - soluble fraction - mitochondrion - lysosome - proteolysis - autophagy - peptidase activity - peptide binding</t>
  </si>
  <si>
    <t>endopeptidase activity||peptidase activity\, acting on L\-amino acid peptides||peptidase activity||hydrolase activity||catalytic activity</t>
  </si>
  <si>
    <t>GO:0004175</t>
  </si>
  <si>
    <t>soluble fraction||cell fraction||cell part</t>
  </si>
  <si>
    <t>cell fraction</t>
  </si>
  <si>
    <t>GO:0005625</t>
  </si>
  <si>
    <t>&lt;autophagic vacuole formation||inheritance of oxidatively modified proteins during replicative cell aging||positive regulation of Fc receptor mediated stimulatory signaling pathway||positive regulation of Fc receptor mediated stimulatory signaling pathway||regulation of vitamin D receptor signaling pathway||regulation of platelet\-derived growth factor receptor signaling pathway||regulation of erythrocyte clearance||acetylcholine catabolic process in synaptic cleft||anterior lateral line nerve development||epithelial cell type specification\, open tracheal system||epidermal cell fate specification||neurohypophysis development||neuron projection morphogenesis||forebrain dorsal/ventral pattern formation||adenohypophysis development||post\-embryonic ectodermal gut morphogenesis||smoothened signaling pathway involved in ventral spinal cord patterning||post\-embryonic ectodermal gut morphogenesis||positive regulation of symbiont invasive hypha formation in host||positive regulation of symbiont invasive hypha formation in host||regulation of RNA elongation from RNA polymerase II promoter||generation of mature 5'\-end of LSU\-rRNA from tricistronic rRNA transcript (SSU\-rRNA\, 5.8S rRNA\, LSU\-rRNA)||trans assembly of SL\-containing precatalytic spliceosome||somatic diversification of T cell receptor genes by N region addition||regulation of eIF2 alpha phosphorylation by endoplasmic reticulum stress||exonucleolytic trimming to generate mature 5'\-end of 5.8S rRNA from tricistronic rRNA transcript (SSU\-rRNA\, 5.8S rRNA\, LSU\-rRNA)||exonucleolytic trimming to generate mature 5'\-end of 5.8S rRNA from tricistronic rRNA transcript (SSU\-rRNA\, 5.8S rRNA\, LSU\-rRNA)||somatic diversification of T cell receptor genes by N region addition||T cell selection||regulation of adaptive immune response based on somatic recombination of immune receptors built from immunoglobulin superfamily domains||regulation of protein import into nucleus\, translocation||regulation of protein import into nucleus\, translocation||regulation of protein import into nucleus\, translocation||regulation of protein import into nucleus\, translocation||apposition of dorsal and ventral imaginal disc\-derived wing surfaces||somite rostral/caudal axis specification||epithelial cell migration\, open tracheal system||vagus nerve development||dichotomous subdivision of terminal units involved in lung branching||regulation of R8 cell spacing in compound eye||regulation of auditory receptor cell fate specification||post\-embryonic anterior midgut (ectodermal) morphogenesis||muscle fiber development||lung\-associated mesenchyme development||post\-embryonic anterior midgut (ectodermal) morphogenesis||regulation of adult salivary gland boundary specification||post\-embryonic anterior midgut (ectodermal) morphogenesis||post\-embryonic anterior midgut (ectodermal) morphogenesis||regulation of transcription from RNA polymerase II promoter involved in spinal cord anterior\-posterior patterning||Spemann organizer formation||compound eye cone cell fate specification||cell morphogenesis involved in neuron differentiation||nucleate erythrocyte maturation||nucleate erythrocyte maturation||maintenance of imaginal disc\-derived wing hair orientation||imaginal disc\-derived wing hair outgrowth||intermediate mesodermal cell fate specification||inferior olivary nucleus formation||inferior olivary nucleus formation||primary neural tube formation||imaginal disc\-derived leg joint morphogenesis||primary neural tube formation||regulation of epidermal cell differentiation||sarcomere organization||intermediate mesodermal cell differentiation||regulation of meristem growth||inner ear receptor cell differentiation involved in inner ear sensory epithelium regeneration||paraxial mesoderm structural organization||axial mesodermal cell fate specification||regulation of transcription from RNA polymerase II promoter involved in lung bud formation||prostate epithelial cord arborization involved in prostate glandular acinus morphogenesis||prostate epithelial cord arborization involved in prostate glandular acinus morphogenesis||oligodendrocyte progenitor proliferation||myelination in the central nervous system||gonadotrophin\-releasing hormone neuronal migration to the hypothalamus||auditory receptor cell fate commitment||hypoglossal nerve formation||oculomotor nerve formation||hypoglossal nerve structural organization||oculomotor nerve structural organization||chemorepulsion involved in postnatal olfactory bulb interneuron migration||chemoattraction involved in embryonic olfactory bulb interneuron migration||chemoattraction involved in embryonic olfactory bulb interneuron migration||dichotomous subdivision of terminal units involved in salivary gland branching||facial nerve structural organization||chemorepulsion involved in postnatal olfactory bulb interneuron migration||vagus nerve structural organization||sorocarp stalk cell differentiation||activation of prostate induction by androgen receptor signaling pathway||organ senescence||neuromast hair cell differentiation involved in neuromast regeneration||neural rod formation||mesenchymal\-endodermal cell signaling involved in lung induction||myotube cell development involved in skeletal muscle regeneration||epithelial cell proliferation involved in prostatic bud elongation||neural fold hinge point formation||tertiary branching involved in mammary gland duct morphogenesis||bud dilation involved in lung branching||bud dilation involved in lung branching||epithelial cell morphogenesis involved in placental branching||epithelial cell morphogenesis involved in placental branching||mesodermal cell migration||epithelial cell proliferation involved in lung bud dilation||negative regulation of retinal cone cell fate commitment||rhabdomere development||post\-embryonic retina morphogenesis in camera\-type eye||regulation of branchiomeric skeletal muscle development||long\-term strengthening of neuromuscular junction||long\-term strengthening of neuromuscular junction||long\-term strengthening of neuromuscular junction||cell adhesion involved in prostatic bud elongation||superior olivary nucleus structural organization||superior olivary nucleus structural organization||cell movement involved in somal translocation||optic nerve maturation||cell movement involved in somal translocation||cerebellar unipolar brush cell differentiation||regulation of epithelial cell differentiation||maintenance of imaginal histoblast diploidy||bud elongation involved in lung branching||paraxial mesodermal cell differentiation||bud elongation involved in lung branching||imaginal disc\-derived leg morphogenesis||retinal cone cell fate specification||eye photoreceptor cell fate commitment||eye photoreceptor cell differentiation||retinal cone cell fate commitment||lens induction in camera\-type eye||Malpighian tubule morphogenesis||embryonic hindgut morphogenesis||branch elongation of an epithelium||fish trap bristle morphogenesis||Malpighian tubule morphogenesis||embryonic hindgut morphogenesis||Lugaro cell differentiation||cerebellar cortex formation||R3/R4 cell fate commitment||olfactory placode formation||neural plate thickening||floor plate formation||neural fold folding||neural fold bending||neural fold folding||neural fold bending||dorsal convergence||face morphogenesis||head morphogenesis||lung induction||exocyst assembly||oocyte growth||cornification||enucleation||diapedesis</t>
  </si>
  <si>
    <t>GO:0000045</t>
  </si>
  <si>
    <t>Tetraspanin 2A - Drosophila melanogaster - integral to membrane</t>
  </si>
  <si>
    <t>&lt;activation of MAPK activity||negative regulation of homocysteine metabolic process||negative regulation of homocysteine metabolic process||gene silencing by miRNA\, production of miRNAs||gene silencing by miRNA\, production of miRNAs||regulation of insulin secretion||negative regulation of T cell mediated immunity||positive regulation of sevenless signaling pathway||negative regulation of embryo sac central cell differentiation||positive regulation of intermediate mesodermal cell fate specification||positive regulation of adult salivary gland boundary specification||positive regulation of adult salivary gland boundary specification||positive regulation of synaptic vesicle fusion to presynaptic membrane||positive regulation of sevenless signaling pathway||positive regulation of pole plasm oskar mRNA localization||regulation of fractalkine biosynthetic process||DNA recombinase assembly||positive regulation of collateral sprouting in the absence of injury||positive regulation of microtubule polymerization or depolymerization||gene silencing by miRNA\, negative regulation of translation</t>
  </si>
  <si>
    <t>GO:0000187</t>
  </si>
  <si>
    <t>Prosbeta5 - Drosophila melanogaster - endopeptidase activity - proteasome core complex - mitotic spindle organization - mitotic spindle elongation - cell proliferation - centrosome organization</t>
  </si>
  <si>
    <t>&lt;proteasome core complex||DNA polymerase III\, DnaX complex\, chi/psi subcomplex||mitochondrial oxoglutarate dehydrogenase complex||mitochondrial oxoglutarate dehydrogenase complex||proton\-transporting ATP synthase\, catalytic core||proton\-transporting ATP synthase\, central stalk||DNA\-directed RNA polymerase II\, core complex||centromere\-specific nucleosome||mediator complex||centromere\-specific nucleosome||nuclear DNA replication factor C complex||nuclear DNA replication factor C complex||mitochondrial chromosome||signal recognition particle receptor complex||mitochondrial chromosome||mitochondrial chromosome||cis\-Golgi network membrane||organellar chromatophore thylakoid lumen||protein C inhibitor\-acrosin complex||thylakoid light\-harvesting complex||thylakoid light\-harvesting complex||mitochondrial intermembrane space protein transporter complex||mitochondrial intermembrane space protein transporter complex||trans\-Golgi network transport vesicle membrane||Sec62/Sec63 complex||NADPH oxidase complex||PSII associated light\-harvesting complex II\, peripheral complex\, LHCIIb subcomplex||syntrophin complex||PSII associated light\-harvesting complex II\, peripheral complex\, LHCIIb subcomplex||mitochondrial large ribosomal subunit||B800\-850 antenna complex||mitochondrial matrix||clathrin coat of endocytic vesicle||delta DNA polymerase complex||delta DNA polymerase complex||Mis6\-Sim4 complex||chromosome\, centromeric core region||fatty acid beta\-oxidation multienzyme complex||TFIIIC\-TOP1\-SUB1 complex||ESCRT II complex||ESCRT I complex||gamma\-tubulin small complex\, spindle pole body||gamma\-tubulin small complex\, spindle pole body||cytoplasmic replisome||contractile vacuole pore||PSII associated light\-harvesting complex II\, peripheral complex||PSII associated light\-harvesting complex II\, peripheral complex||DNA replication factor C core complex||DNA replication factor C core complex||mitochondrial proton\-transporting ATP synthase\, central stalk||rough endoplasmic reticulum membrane||transport vesicle membrane||mitochondrial ribosome||mitochondrial ribosome||macropinocytic cup cytoskeleton||amyloplast starch grain||mitochondrial respiratory chain complex III||mitochondrial respiratory chain complex IV||mitochondrial respiratory chain complex I||mitochondrial crista||mitochondrial respiratory chain complex I||mitochondrial crista||ER proteasome regulatory particle\, base subcomplex||ER proteasome core complex\, beta\-subunit complex||COPI vesicle coat||ER proteasome regulatory particle\, lid subcomplex||proteasome regulatory particle\, base subcomplex||proteasome regulatory particle\, base subcomplex||nucleolar part||Sec complex\-associated translocon complex||intrinsic to endoplasmic reticulum membrane||actin capping protein of dynactin complex||condensed nuclear chromosome kinetochore||intermediate layer of spindle pole body||chiasma||platelet dense tubular network membrane||intrinsic to plastid outer membrane||integral to plastid outer membrane||plastid biotin carboxylase complex||chloroplast ATP synthase complex||snRNP U2||nuclear proteasome core complex||Swr1 complex||gamma DNA polymerase complex||mitochondrial membrane part||intrinsic to Golgi membrane||recycling endosome membrane||tertiary granule membrane||chromaffin granule lumen||peribacteroid membrane||clathrin vesicle coat||acidocalcisome membrane||peribacteroid fluid||COPII vesicle coat||melanosome membrane||chitosome membrane||plastid chromosome||proplastid stroma||etioplast stroma||cyanelle stroma||Toc complex||microbody part||yolk granule||pectic matrix||Golgi membrane||axoneme part||cilium part</t>
  </si>
  <si>
    <t>cilium part</t>
  </si>
  <si>
    <t>axoneme part</t>
  </si>
  <si>
    <t>GO:0005839</t>
  </si>
  <si>
    <t>mitotic spindle organization||spindle organization||microtubule cytoskeleton organization||cytoskeleton organization||organelle organization||cellular component organization</t>
  </si>
  <si>
    <t>GO:0007052</t>
  </si>
  <si>
    <t>CG14934 - Drosophila melanogaster - alpha-glucosidase activity</t>
  </si>
  <si>
    <t>protein heterodimerization activity||protein dimerization activity||protein binding||binding</t>
  </si>
  <si>
    <t>GO:0046982</t>
  </si>
  <si>
    <t>mitochondrial inner membrane||integral to mitochondrial outer membrane||intrinsic to mitochondrial outer membrane||mitochondrial membrane part||mitochondrial part||nuclear cyclin\-dependent protein kinase holoenzyme complex||cyclin\-dependent protein kinase holoenzyme complex||outer membrane\-bounded periplasmic space||external encapsulating structure part||cell part</t>
  </si>
  <si>
    <t>GO:0005743</t>
  </si>
  <si>
    <t>amino acid transport||carboxylic acid transport||organic acid transport||transport||cellular localization||localization</t>
  </si>
  <si>
    <t>GO:0006865</t>
  </si>
  <si>
    <t>hematological and neurological expressed 1-like - Danio rerio - molecular_function - cellular_component - biological_process</t>
  </si>
  <si>
    <t>thioredoxin-2 - Drosophila melanogaster - disulfide oxidoreductase activity - cell redox homeostasis - cellular_component</t>
  </si>
  <si>
    <t>disulfide oxidoreductase activity||oxidoreductase activity\, acting on sulfur group of donors||oxidoreductase activity||catalytic activity</t>
  </si>
  <si>
    <t>GO:0015036</t>
  </si>
  <si>
    <t>acetyltransferase, GNAT family - Vibrio cholerae O1 biovar El tor - biological_process - acetyltransferase activity</t>
  </si>
  <si>
    <t>N\-acetyltransferase activity||N\-acyltransferase activity||acyltransferase activity||transferase activity\, transferring acyl groups other than amino\-acyl groups||transferase activity\, transferring acyl groups||transferase activity||catalytic activity</t>
  </si>
  <si>
    <t>GO:0008080</t>
  </si>
  <si>
    <t>response to chemical stimulus||response to stimulus</t>
  </si>
  <si>
    <t>GO:0042221</t>
  </si>
  <si>
    <t>aquaporin 2 - Mus musculus - renal water transport - membrane fraction - cellular response to water deprivation - apical plasma membrane - integral to endosome membrane - integral to membrane - integral to plasma membrane - plasma membrane - recycling endosome - recycling endosome membrane - water channel activity - water transport</t>
  </si>
  <si>
    <t>water channel activity||substrate specific channel activity||channel activity||passive transmembrane transporter activity||transmembrane transporter activity||transporter activity</t>
  </si>
  <si>
    <t>transmembrane transporter activity</t>
  </si>
  <si>
    <t>GO:0015250</t>
  </si>
  <si>
    <t>membrane fraction||insoluble fraction||cell fraction||cell part</t>
  </si>
  <si>
    <t>GO:0005624</t>
  </si>
  <si>
    <t>&lt;renal water transport||diet induced thermogenesis||progesterone secretion||regulation of ovulation||neuropore closure||pollen tube guidance||bone morphogenesis||leaf formation||shoot development||root development||eclosion rhythm||pollen adhesion||diapedesis||seed growth||cornification||innervation</t>
  </si>
  <si>
    <t>GO:0003097</t>
  </si>
  <si>
    <t>Arginine kinase - Drosophila melanogaster - phosphorylation - arginine kinase activity</t>
  </si>
  <si>
    <t>creatine kinase activity||phosphotransferase activity\, nitrogenous group as acceptor||transferase activity\, transferring phosphorus\-containing groups||transferase activity||catalytic activity</t>
  </si>
  <si>
    <t>GO:0004111</t>
  </si>
  <si>
    <t>cytosol||nuclear cyclin\-dependent protein kinase holoenzyme complex||cyclin\-dependent protein kinase holoenzyme complex||outer membrane\-bounded periplasmic space||external encapsulating structure part||cell part</t>
  </si>
  <si>
    <t>GO:0005829</t>
  </si>
  <si>
    <t>creatine metabolic process||phosphagen metabolic process||cellular amino acid derivative metabolic process||cellular amino acid and derivative metabolic process||cellular metabolic process||metabolic process</t>
  </si>
  <si>
    <t>GO:0006600</t>
  </si>
  <si>
    <t>zgc:91984 - Danio rerio - biological_process</t>
  </si>
  <si>
    <t>serine\-type peptidase activity||peptidase activity\, acting on L\-amino acid peptides||peptidase activity||hydrolase activity||catalytic activity</t>
  </si>
  <si>
    <t>GO:0008236</t>
  </si>
  <si>
    <t>plasma membrane||membrane||cell part</t>
  </si>
  <si>
    <t>GO:0005886</t>
  </si>
  <si>
    <t>epidermal growth factor receptor signaling pathway||transmembrane receptor protein tyrosine kinase signaling pathway||enzyme linked receptor protein signaling pathway||cell surface receptor linked signal transduction||signal transduction||regulation of cellular process||regulation of biological process||biological regulation</t>
  </si>
  <si>
    <t>GO:0007173</t>
  </si>
  <si>
    <t>zgc:56585 - Danio rerio - cellular_component</t>
  </si>
  <si>
    <t>prostaglandin E receptor activity||prostaglandin receptor activity||prostanoid receptor activity||icosanoid receptor activity||G\-protein coupled receptor activity||transmembrane receptor activity||receptor activity||signal transducer activity||molecular transducer activity</t>
  </si>
  <si>
    <t>molecular transducer activity</t>
  </si>
  <si>
    <t>signal transducer activity</t>
  </si>
  <si>
    <t>GO:0004957</t>
  </si>
  <si>
    <t>nucleus||intracellular membrane\-bounded organelle||intracellular organelle||outer membrane\-bounded periplasmic space||external encapsulating structure part||cell part</t>
  </si>
  <si>
    <t>GO:0005634</t>
  </si>
  <si>
    <t>transforming growth factor beta receptor signaling pathway||transmembrane receptor protein serine/threonine kinase signaling pathway||enzyme linked receptor protein signaling pathway||cell surface receptor linked signal transduction||signal transduction||regulation of cellular process||regulation of biological process||biological regulation</t>
  </si>
  <si>
    <t>GO:0007179</t>
  </si>
  <si>
    <t>Ribosomal protein L6 - Drosophila melanogaster - cytosolic large ribosomal subunit - lipid particle - mitotic spindle elongation - mitotic spindle organization</t>
  </si>
  <si>
    <t>microsome||vesicular fraction||membrane fraction||insoluble fraction||cell fraction||cell part</t>
  </si>
  <si>
    <t>GO:0005792</t>
  </si>
  <si>
    <t>CG17134 - Drosophila melanogaster - aspartic-type endopeptidase activity</t>
  </si>
  <si>
    <t>peptidase activity||hydrolase activity||catalytic activity</t>
  </si>
  <si>
    <t>GO:0008233</t>
  </si>
  <si>
    <t>fungal\-type vacuole||storage vacuole||vacuole||nuclear cyclin\-dependent protein kinase holoenzyme complex||cyclin\-dependent protein kinase holoenzyme complex||outer membrane\-bounded periplasmic space||external encapsulating structure part||cell part</t>
  </si>
  <si>
    <t>GO:0000324</t>
  </si>
  <si>
    <t>vacuolar protein catabolic process||cellular protein catabolic process||cellular biopolymer catabolic process||cellular macromolecule catabolic process||cellular macromolecule metabolic process||macromolecule metabolic process||metabolic process</t>
  </si>
  <si>
    <t>GO:0007039</t>
  </si>
  <si>
    <t>Putative uncharacterized protein F01G12.6 - Caenorhabditis elegans - protein binding</t>
  </si>
  <si>
    <t>Rab GTPase activator activity||Ras GTPase activator activity||small GTPase regulator activity||GTPase regulator activity||nucleoside\-triphosphatase regulator activity||enzyme regulator activity</t>
  </si>
  <si>
    <t>enzyme regulator activity</t>
  </si>
  <si>
    <t>nucleoside\-triphosphatase regulator activity</t>
  </si>
  <si>
    <t>GO:0005097</t>
  </si>
  <si>
    <t>ftz transcription factor 1 - Drosophila melanogaster - DNA binding - nucleus - periodic partitioning - ligand-dependent nuclear receptor activity - transcription factor activity - salivary gland cell autophagic cell death - response to ecdysone - cell death - response to hormone stimulus - metamorphosis - regulation of development, heterochronic - regulation of transcription, DNA-dependent - transcription cofactor activity - cytoplasm - instar larval or pupal development - olfactory behavior</t>
  </si>
  <si>
    <t>DNA binding||nucleic acid binding||binding</t>
  </si>
  <si>
    <t>nucleic acid binding</t>
  </si>
  <si>
    <t>GO:0003677</t>
  </si>
  <si>
    <t>&lt;periodic partitioning||somite specification||uterine wall growth||dorsal convergence||gonad morphogenesis||leg segmentation||fin morphogenesis||cytokine secretion||pollen hydration||pollen adhesion||diapedesis||seed growth||cornification||innervation</t>
  </si>
  <si>
    <t>GO:0007365</t>
  </si>
  <si>
    <t>CG7564 - Drosophila melanogaster - nuclear mRNA splicing, via spliceosome - U1 snRNP</t>
  </si>
  <si>
    <t>-negative regulation of striated muscle development||positive regulation of trichoblast fate specification||negative regulation of neutrophil differentiation||negative regulation of osteoclast differentiation||negative regulation of lymphocyte differentia</t>
  </si>
  <si>
    <t>GO:0045843</t>
  </si>
  <si>
    <t>Spase 25-subunit - Drosophila melanogaster - signal peptide processing - peptidase activity - signal peptidase complex - integral to membrane</t>
  </si>
  <si>
    <t>&lt;signal peptidase complex||clathrin vesicle coat||cytoplasmic vesicle part||peribacteroid fluid||COPII vesicle coat||melanosome membrane||chitosome membrane||troponin complex||troponin complex||cuticular plate||cell cortex part||radial spokehead||intracellular part||suberin network||lignin network||pectic matrix||Golgi membrane||axoneme part||cilium part||polarisome||aster||aster||conoid||conoid</t>
  </si>
  <si>
    <t>conoid</t>
  </si>
  <si>
    <t>GO:0005787</t>
  </si>
  <si>
    <t>signal peptide processing||protein maturation by peptide bond cleavage||protein processing||protein maturation||protein metabolic process||biopolymer metabolic process||macromolecule metabolic process||metabolic process</t>
  </si>
  <si>
    <t>GO:0006465</t>
  </si>
  <si>
    <t>p38b - Drosophila melanogaster - protein serine/threonine kinase activity - MAPKKK cascade - response to stress - regulation of innate immune response - immune response - MAP kinase activity - regulation of BMP signaling pathway - transforming growth factor beta receptor signaling pathway - imaginal disc-derived wing morphogenesis - SAP kinase activity - protein amino acid phosphorylation - defense response - nucleus - response to salt stress</t>
  </si>
  <si>
    <t>protein serine/threonine kinase activity||protein kinase activity||phosphotransferase activity\, alcohol group as acceptor||transferase activity\, transferring phosphorus\-containing groups||transferase activity||catalytic activity</t>
  </si>
  <si>
    <t>GO:0004674</t>
  </si>
  <si>
    <t>MAPKKK cascade||protein kinase cascade||intracellular signaling cascade||signal transduction||regulation of cellular process||regulation of biological process||biological regulation</t>
  </si>
  <si>
    <t>GO:0000165</t>
  </si>
  <si>
    <t>moladietz - Drosophila melanogaster - learning or memory - olfactory learning - asymmetric protein localization - protein binding - basal part of cell - plasma membrane</t>
  </si>
  <si>
    <t>basal part of cell||cell part</t>
  </si>
  <si>
    <t>basal part of cell</t>
  </si>
  <si>
    <t>GO:0045178</t>
  </si>
  <si>
    <t>learning or memory||cognition||neurological system process||system process||multicellular organismal process</t>
  </si>
  <si>
    <t>GO:0007611</t>
  </si>
  <si>
    <t>cathD - Drosophila melanogaster - aspartic-type endopeptidase activity - autophagic cell death - salivary gland cell autophagic cell death</t>
  </si>
  <si>
    <t>lysosome||lytic vacuole||vacuole||nuclear cyclin\-dependent protein kinase holoenzyme complex||cyclin\-dependent protein kinase holoenzyme complex||outer membrane\-bounded periplasmic space||external encapsulating structure part||cell part</t>
  </si>
  <si>
    <t>GO:0005764</t>
  </si>
  <si>
    <t>proteolysis||protein catabolic process||biopolymer catabolic process||macromolecule catabolic process||macromolecule metabolic process||metabolic process</t>
  </si>
  <si>
    <t>GO:0006508</t>
  </si>
  <si>
    <t>Hemolectin - Drosophila melanogaster - sugar binding - protein homodimerization activity - extracellular region - hemostasis - wound healing - melanization defense response - hemolymph coagulation</t>
  </si>
  <si>
    <t>sugar binding||carbohydrate binding||binding</t>
  </si>
  <si>
    <t>carbohydrate binding</t>
  </si>
  <si>
    <t>GO:0005529</t>
  </si>
  <si>
    <t>extracellular region</t>
  </si>
  <si>
    <t>GO:0005576</t>
  </si>
  <si>
    <t>hemostasis||regulation of body fluid levels||regulation of biological quality||biological regulation</t>
  </si>
  <si>
    <t>GO:0007599</t>
  </si>
  <si>
    <t>synaptic glycoprotein SC2-like protein - Dictyostelium discoideum - biological_process - molecular_function - integral to membrane</t>
  </si>
  <si>
    <t>female lethal d - Drosophila melanogaster - female germ-line sex determination - RNA splicing factor activity, transesterification mechanism - nucleus - primary sex determination, soma - regulation of alternative nuclear mRNA splicing, via spliceosome - sex determination</t>
  </si>
  <si>
    <t>RNA splicing factor activity\, transesterification mechanism||catalytic activity</t>
  </si>
  <si>
    <t>RNA splicing factor activity\, transesterification mechanism</t>
  </si>
  <si>
    <t>GO:0031202</t>
  </si>
  <si>
    <t>female germ\-line sex determination||primary sex determination\, germ\-line||primary sex determination||sex determination||reproductive developmental process||reproduction of a single\-celled organism||reproduction</t>
  </si>
  <si>
    <t>GO:0019099</t>
  </si>
  <si>
    <t>ribosomal protein S7 - Rattus norvegicus - molecular_function - protein binding - nucleolus - cytosol - ribosome - rRNA processing - translational elongation - biological_process - cytosolic small ribosomal subunit - ribosomal small subunit biogenesis</t>
  </si>
  <si>
    <t>&lt;nucleolus||Swr1 complex||gamma DNA polymerase complex||mitochondrial membrane part||intrinsic to Golgi membrane||recycling endosome membrane||tertiary granule membrane||chromaffin granule lumen||peribacteroid membrane||clathrin vesicle coat||acidocalcisome membrane||peribacteroid fluid||COPII vesicle coat||melanosome membrane||chitosome membrane||plastid chromosome||proplastid stroma||etioplast stroma||cyanelle stroma||Toc complex||microbody part||yolk granule||pectic matrix||Golgi membrane||axoneme part||cilium part||polarisome||aster||aster||conoid||conoid</t>
  </si>
  <si>
    <t>GO:0005730</t>
  </si>
  <si>
    <t>&lt;rRNA processing||regulation of eIF2 alpha phosphorylation by amino acid starvation||negative regulation of induction of conjugation with cellular fusion||spermatid nucleus elongation||regulation of attachment of spindle microtubules to kinetochore||regulation of maintenance of mitotic sister chromatid cohesion||regulation of maintenance of mitotic sister chromatid cohesion||membrane reorganization involved in phagocytosis\, engulfment||regulation of synaptic vesicle fusion to presynaptic membrane||signal transduction during conjugation without cellular fusion||agglutination involved in conjugation without cellular fusion||pre\-microRNA processing||tRNA\-type intron splice site recognition and cleavage||recruitment of helicase\-primase complex to DNA lesions||plasma membrane electron transport\, NADH to quinone||plasma membrane electron transport\, NADH to quinone||regulation of cellular carbohydrate catabolic process||regulation of N\-terminal protein palmitoylation||regulation of N\-terminal protein palmitoylation||regulation of chromatin silencing by small RNA||DNA replication\, Okazaki fragment processing||regulation of reciprocal meiotic recombination||positive regulation of protein desumoylation||regulation of histone H3\-K9 methylation||RNA elongation from mitochondrial promoter||regulation of antisense RNA transcription||regulation of glucan biosynthetic process||regulation of cholesterol esterification||regulation of fatty acid beta\-oxidation||regulation of ketone biosynthetic process||heme oxidation||regulation of synaptic vesicle priming||establishment of organelle localization||regulation of ecdysteroid secretion||N\-glycan processing to lysosome||free ubiquitin chain polymerization||regulation of ubiquitin homeostasis||axon choice point recognition||regulation of axon extension||regulation of neuron maturation||neuroblast fate specification||glial cell fate specification||Sertoli cell fate commitment||notochord cell vacuolation||notochord cell development||dendrite morphogenesis||root hair initiation||guard cell development||stem cell maintenance||neuron maturation||myoblast maturation||pole cell formation||glial cell growth||myoblast fusion||cell wall assembly||male meiosis I||pollen adhesion||oocyte growth</t>
  </si>
  <si>
    <t>GO:0006364</t>
  </si>
  <si>
    <t>solute carrier family 44, member 4 - Danio rerio - molecular_function - biological_process</t>
  </si>
  <si>
    <t>choline transmembrane transporter activity||amine transmembrane transporter activity||substrate\-specific transmembrane transporter activity||substrate\-specific transporter activity||transporter activity</t>
  </si>
  <si>
    <t>GO:0015220</t>
  </si>
  <si>
    <t>choline transport||quaternary ammonium group transport||organic cation transport||cation transport||ion transport||transport||cellular localization||localization</t>
  </si>
  <si>
    <t>GO:0015871</t>
  </si>
  <si>
    <t>Caenorhabditis elegans - positive regulation of growth rate - nematode larval development - determination of adult life span - growth - locomotion</t>
  </si>
  <si>
    <t>CG11796 - Drosophila melanogaster - 4-hydroxyphenylpyruvate dioxygenase activity</t>
  </si>
  <si>
    <t>4\-hydroxyphenylpyruvate dioxygenase activity||oxidoreductase activity\, acting on single donors with incorporation of molecular oxygen\, incorporation of two atoms of oxygen||oxidoreductase activity\, acting on single donors with incorporation of molecular oxygen||oxidoreductase activity||catalytic activity</t>
  </si>
  <si>
    <t>GO:0003868</t>
  </si>
  <si>
    <t>Golgi membrane||type II fatty acid synthase complex||fatty acid synthase complex||nuclear cyclin\-dependent protein kinase holoenzyme complex||cyclin\-dependent protein kinase holoenzyme complex||outer membrane\-bounded periplasmic space||external encapsulating structure part||cell part</t>
  </si>
  <si>
    <t>GO:0000139</t>
  </si>
  <si>
    <t>tyrosine catabolic process||aromatic amino acid family catabolic process||aromatic amino acid family metabolic process||cellular amino acid metabolic process||cellular amine metabolic process||cellular carbohydrate metabolic process||carbohydrate metabolic process||primary metabolic process||metabolic process</t>
  </si>
  <si>
    <t>GO:0006572</t>
  </si>
  <si>
    <t>discs large 1 - Drosophila melanogaster - plasma membrane - dorsal closure - protein localization - septate junction - synaptic transmission - guanylate kinase activity - membrane - cytoskeleton - cell proliferation - establishment or maintenance of polarity of follicular epithelium - establishment or maintenance of polarity of larval imaginal disc epithelium - morphogenesis of follicular epithelium - morphogenesis of larval imaginal disc epithelium - apicolateral plasma membrane - regulation of border follicle cell delamination - asymmetric protein localization - establishment or maintenance of polarity of embryonic epithelium - nervous system development - cell cortex - basal protein localization - apical cortex - structural molecule activity - establishment or maintenance of epithelial cell apical/basal polarity - establishment or maintenance of neuroblast polarity - morphogenesis of an epithelium - protein binding - terminal button - presynaptic membrane - septate junction assembly - cytoskeleton organization - regulation of cell proliferation - central nervous system development - neuron differentiation - peripheral nervous system development - zonula adherens assembly - basolateral plasma membrane - cytoplasm - negative regulation of cell proliferation - regulation of cell cycle - epidermal growth factor receptor binding - morphogenesis of a polarized epithelium - synapse - asymmetric protein localization involved in cell fate determination - postsynaptic membrane - establishment of spindle orientation</t>
  </si>
  <si>
    <t>guanylate kinase activity||nucleotide kinase activity||nucleobase\, nucleoside\, nucleotide kinase activity||kinase activity||transferase activity\, transferring phosphorus\-containing groups||transferase activity||catalytic activity</t>
  </si>
  <si>
    <t>GO:0004385</t>
  </si>
  <si>
    <t>dorsal closure||morphogenesis of embryonic epithelium||morphogenesis of an epithelium||swim bladder morphogenesis||muscle organ development||nervous system development||gametophyte development||multicellular organismal development||multicellular organismal process</t>
  </si>
  <si>
    <t>GO:0007391</t>
  </si>
  <si>
    <t>Vacuolar aspartyl protease (proteinase A), required for the posttranslational precursor maturation of vacuolar proteinases - Saccharomyces cerevisiae - fungal-type vacuole - fungal-type vacuole lumen - mitochondrion - vacuolar protein catabolic process - peptidase activity - cellular response to starvation - microautophagy - sporulation resulting in formation of a cellular spore - proteolysis involved in cellular protein catabolic process</t>
  </si>
  <si>
    <t>CG8690 - Drosophila melanogaster - alpha-glucosidase activity</t>
  </si>
  <si>
    <t>coiled-coil domain containing 43 - Danio rerio - molecular_function - biological_process - cellular_component</t>
  </si>
  <si>
    <t>formin binding protein 4 - Mus musculus - protein binding</t>
  </si>
  <si>
    <t>retrotransposable element - Schizosaccharomyces pombe - nucleus</t>
  </si>
  <si>
    <t>CG13377 - Drosophila melanogaster - 3-hydroxybutyrate dehydrogenase activity</t>
  </si>
  <si>
    <t>CG1542 - Drosophila melanogaster - rRNA processing - nucleolus - molecular_function</t>
  </si>
  <si>
    <t>Huge dynein-related AAA-type ATPase (midasin), forms extended pre-60S particle with the Rix1 complex (Rix1p-Ipi1p-Ipi3p), may mediate ATP-dependent remodeling of 60S subunits and subsequent export from nucleoplasm to cytoplasm - Saccharomyces cerevisiae - ribosomal large subunit assembly - nucleus - nucleoplasm - mitochondrion - rRNA processing - ATPase activity - ribosome assembly - ribosomal large subunit biogenesis</t>
  </si>
  <si>
    <t>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</si>
  <si>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GO:0016887</t>
  </si>
  <si>
    <t>&lt;ribosomal large subunit assembly||ribosomal small subunit assembly||removal of nonhomologous ends||metarhodopsin inactivation||regulation of vesicle fusion||regulation of phagocytosis||synaptic vesicle targeting||R3/R4 cell fate commitment||lipoxygenase pathway||spliceosome assembly||tRNA exon ligation||photosystem II repair||receptor clustering||sperm capacitation||oocyte development||beta selection||oocyte growth||oocyte growth||rDNA separation||oocyte growth</t>
  </si>
  <si>
    <t>GO:0000027</t>
  </si>
  <si>
    <t>lethal (2) 06225 - Drosophila melanogaster - hydrogen-exporting ATPase activity, phosphorylative mechanism - proton transport - mitochondrial proton-transporting ATP synthase complex, coupling factor F(o) - lipid particle</t>
  </si>
  <si>
    <t>hydrogen\-exporting ATPase activity\, phosphorylative mechanism||ATPase activity\, coupled to transmembrane movement of ions\, phosphorylative mechanism||ATPase activity\, coupled to transmembrane movement of ions||ATPase activity\, coupled to transmembrane movement of substances||ATPase activity\, coupled to movement of substances||ATPase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</si>
  <si>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GO:0008553</t>
  </si>
  <si>
    <t>&lt;mitochondrial proton\-transporting ATP synthase complex\, coupling factor F(o)||mitochondrial inner membrane protein insertion complex||extrinsic to endoplasmic reticulum membrane||mitochondrial proton\-transporting ATP synthase complex\, coupling factor F(o)||mitochondrial inner membrane protein insertion complex||parasitophorous vacuolar membrane network||chloroplast photosystem II||chloroplast photosystem II||chloroplast photosystem I||plastid acetyl\-CoA carboxylase complex||Tic complex||Tic complex||chloroplast intermembrane space||mitochondrial proton\-transporting ATP synthase\, catalytic core||mitochondrial proton\-transporting ATP synthase\, central stalk||DNA replication factor C core complex||DNA replication factor C core complex||mitochondrial proton\-transporting ATP synthase\, central stalk||mitochondrial inner membrane peptidase complex||COMA complex||COMA complex||MCM complex||SSL2\-core TFIIH complex portion of holo TFIIH complex||nuclear proteasome regulatory particle\, base subcomplex||nuclear proteasome core complex\, beta\-subunit complex||lamin filament||core TFIIH complex portion of holo TFIIH complex||rDNA protrusion||outer kinetochore of condensed nuclear chromosome||outer kinetochore of condensed nuclear chromosome||glyoxysomal membrane||glyoxysomal membrane||mitochondrial glutamate synthase complex (NADH)||mitochondrial glutamate synthase complex (NADH)||UDP\-N\-acetylglucosamine transferase complex||Sec complex\-associated translocon complex||intrinsic to endoplasmic reticulum membrane||cytoplasmic part||UDP\-N\-acetylglucosamine transferase complex||Sec complex\-associated translocon complex||intrinsic to endoplasmic reticulum membrane||nuclear lamina||glycine\-gated chloride channel complex||Cdc48p\-Npl4p\-Ufd1p AAA ATPase complex||ionotropic glutamate receptor complex||clathrin coat of synaptic vesicle||intrinsic to plastid outer membrane||integral to plastid outer membrane||intrinsic to peroxisomal membrane||plasmodesmatal plasma membrane||oncostatin\-M receptor complex||integral to thylakoid membrane||succinate dehydrogenase complex||cyanelle thylakoid membrane||mitochondrial membrane part||Mdm10/Mdm12/Mmm1 complex||flagellar pocket membrane||signal peptidase complex||spindle pole centrosome||perichromatin fibrils||proplastid nucleoid||plastid chromosome||plastid chromosome||nucleoplasm part||nuclear membrane||RITS complex||Golgi cisterna||vesicle coat||CBF3 complex||stereocilium||snRNP U6||yolk plasma||C zone||C zone||aster||aster||mononeme||cell part</t>
  </si>
  <si>
    <t>mononeme</t>
  </si>
  <si>
    <t>GO:0000276</t>
  </si>
  <si>
    <t>proton transport||monovalent inorganic cation transport||cation transport||ion transport||transport||cellular localization||localization</t>
  </si>
  <si>
    <t>GO:0015992</t>
  </si>
  <si>
    <t>Odorant-binding protein 56h - Drosophila melanogaster - odorant binding - sensory perception of smell - sensory perception of chemical stimulus - olfactory behavior - response to pheromone - extracellular region</t>
  </si>
  <si>
    <t>odorant binding||binding</t>
  </si>
  <si>
    <t>odorant binding</t>
  </si>
  <si>
    <t>GO:0005549</t>
  </si>
  <si>
    <t>sensory perception of smell||sensory perception of chemical stimulus||sensory perception||cognition||neurological system process||system process||multicellular organismal process</t>
  </si>
  <si>
    <t>GO:0007608</t>
  </si>
  <si>
    <t>CG7920 - Drosophila melanogaster - 4-hydroxybutyrate CoA-transferase activity - lipid particle</t>
  </si>
  <si>
    <t>4\-hydroxybutyrate CoA\-transferase activity||CoA\-transferase activity||transferase activity\, transferring sulfur\-containing groups||transferase activity||catalytic activity</t>
  </si>
  <si>
    <t>GO:0008411</t>
  </si>
  <si>
    <t>anaerobic respiration||cellular respiration||energy derivation by oxidation of organic compounds||generation of precursor metabolites and energy||cellular metabolic process||metabolic process</t>
  </si>
  <si>
    <t>GO:0009061</t>
  </si>
  <si>
    <t>Caenorhabditis elegans - cell death - induction of programmed cell death - proteolysis - lysosome</t>
  </si>
  <si>
    <t>Heterogeneous nuclear ribonucleoprotein at 98DE - Drosophila melanogaster - ribonucleoprotein complex - heterogeneous nuclear ribonucleoprotein complex - mRNA binding</t>
  </si>
  <si>
    <t>mRNA binding||RNA binding||nucleic acid binding||binding</t>
  </si>
  <si>
    <t>GO:0003729</t>
  </si>
  <si>
    <t>&lt;nucleoplasm||nuclear telomeric heterochromatin||epsilon DNA polymerase complex||clathrin coated vesicle membrane||platelet dense granule membrane||Holliday junction helicase complex||intrinsic to vacuolar membrane||protein storage vacuole lumen||contractile vacuolar membrane||cyanelle thylakoid membrane||plastid thylakoid membrane||cyanelle thylakoid lumen||chloroplast chromosome||chloroplast chromosome||mitochondrial nucleoid||mitochondrial nucleoid||COPII vesicle coat||Vps55/Vps68 complex||Vps55/Vps68 complex||acrosomal matrix||acrosomal lumen||exomer complex||cell cortex part||HOPS complex||EGO complex||PAS complex||pectic matrix||Golgi membrane||axoneme part||cilium part||polarisome||aster||aster||conoid||conoid</t>
  </si>
  <si>
    <t>GO:0005654</t>
  </si>
  <si>
    <t>&amp;regulation of alternative nuclear mRNA splicing\, via spliceosome||regulation of pyrimidine base metabolic process||activation of tryptophan 5\-monooxygenase activity||activation of tryptophan 5\-monooxygenase activity||regulation of alpha\-glucan metabolic process||regulation of UDP\-glucose catabolic process||regulation of beta\-glucan metabolic process||regulation of isopentenyl diphosphate biosynthetic process\, mevalonate\-independent pathway||regulation of UDP\-glucose catabolic process||establishment of chromatin silencing||chromosome breakage||meiotic DNA double\-strand break processing involved in reciprocal meiotic recombination||meiotic DNA double\-strand break formation involved in reciprocal meiotic recombination||maintenance of chromatin silencing||maintenance of chromatin silencing||regulation of chromatin silencing||regulation of chromatin silencing||regulation of collagen metabolic process||ncRNA polyadenylation during polyadenylation\-dependent ncRNA catabolic process||positive regulation of specific transcription from RNA polymerase II promoter||regulation of transcription\, DNA\-dependent||positive regulation of specific transcription from RNA polymerase II promoter||regulation of transcription\, DNA\-dependent||regulation of proteasomal ubiquitin\-dependent protein catabolic process||gene conversion at mating\-type locus\, DNA double\-strand break formation||meiotic DNA repair synthesis involved in reciprocal meiotic recombination||regulation of ascospore wall 1\,3\-beta\-glucan biosynthetic process||regulation of ascospore wall 1\,3\-beta\-glucan biosynthetic process||regulation of 4\,6\-pyruvylated galactose residue biosynthetic process||regulation of ascospore wall 1\,3\-beta\-glucan biosynthetic process||regulation of eIF2 alpha phosphorylation by amino acid starvation||cyclization of asparagine\, during protein splicing||positive regulation of protein maturation by peptide bond cleavage||regulation of peptidyl\-serine phosphorylation of STAT protein||regulation of pathway\-restricted SMAD protein phosphorylation||regulation of ascospore wall beta\-glucan biosynthetic process||regulation of pathway\-restricted SMAD protein phosphorylation||maintenance of fidelity during DNA\-dependent DNA replication||gene conversion at mating\-type locus\, DNA repair synthesis||meiotic strand invasion involved in meiotic gene conversion||positive regulation of mitochondrial RNA catabolic process||tRNA aminoacylation for mitochondrial protein translation||regulation of phosphatidylinositol biosynthetic process||regulation of phosphatidylinositol biosynthetic process||regulation of antimicrobial peptide biosynthetic process||positive regulation of macromolecule biosynthetic process||positive regulation of vitamin D biosynthetic process||regulation of eIF2 alpha phosphorylation by heme||regulation of chromatin silencing by small RNA||regulation of chromatin silencing by small RNA||regulation of glucosinolate biosynthetic process||regulation of salicylic acid biosynthetic process||regulation of polysaccharide biosynthetic process||substrate\-bound cell migration\, cell extension||regulation of intracellular protein transport||regulation of intracellular protein transport||regulation of smooth muscle cell migration||outward migration of deep nuclear neurons||inward migration of deep nuclear neurons||regulation of phagocytosis\, engulfment||negative regulation of leucine import||regulation of acetylcholine secretion||regulation of catecholamine secretion||regulation of gastric acid secretion||regulation of L\-arginine import||regulation of adenosine transport||neurotransmitter secretory pathway||regulation of cortisol secretion||regulation of activin secretion||regulation of protein secretion||protein secretion by platelet||regulation of lymphocyte anergy||leukocyte tethering or rolling||myeloid cell differentiation||detection of dietary excess||diet induced thermogenesis||response to dietary excess||synaptic vesicle budding||regulation of excretion||uterine wall growth||seed coat development||style development||style development||nectary development||head segmentation||lung development||eclosion rhythm||eclosion rhythm||enucleation||tube fusion||seed growth||innervation</t>
  </si>
  <si>
    <t>GO:0000381</t>
  </si>
  <si>
    <t>Selenophosphate synthetase 2 - Drosophila melanogaster - selenide, water dikinase activity - selenocysteine biosynthetic process - purine nucleotide binding</t>
  </si>
  <si>
    <t>ATP binding||adenyl ribonucleotide binding||purine ribonucleotide binding||purine nucleotide binding||nucleotide binding||binding</t>
  </si>
  <si>
    <t>nucleotide binding</t>
  </si>
  <si>
    <t>GO:0005524</t>
  </si>
  <si>
    <t>selenocysteine metabolic process||serine family amino acid metabolic process||cellular amino acid metabolic process||cellular amine metabolic process||cellular carbohydrate metabolic process||carbohydrate metabolic process||primary metabolic process||metabolic process</t>
  </si>
  <si>
    <t>GO:0016259</t>
  </si>
  <si>
    <t>Cyp9f2 - Drosophila melanogaster - microsome - electron carrier activity - membrane</t>
  </si>
  <si>
    <t>electron carrier activity</t>
  </si>
  <si>
    <t>GO:0009055</t>
  </si>
  <si>
    <t>response to insecticide||response to toxin||response to chemical stimulus||response to stimulus</t>
  </si>
  <si>
    <t>GO:0017085</t>
  </si>
  <si>
    <t>CG6947 - Drosophila melanogaster - structural constituent of peritrophic membrane</t>
  </si>
  <si>
    <t>structural constituent of peritrophic membrane||structural molecule activity</t>
  </si>
  <si>
    <t>structural constituent of peritrophic membrane</t>
  </si>
  <si>
    <t>GO:0016490</t>
  </si>
  <si>
    <t>vesicle-associated membrane protein 3 (cellubrevin) - Danio rerio - molecular_function</t>
  </si>
  <si>
    <t>SNAP receptor activity||protein binding||binding</t>
  </si>
  <si>
    <t>GO:0005484</t>
  </si>
  <si>
    <t>vesicle\-mediated transport||transport||cellular localization||localization</t>
  </si>
  <si>
    <t>GO:0016192</t>
  </si>
  <si>
    <t>Inositol 1,4,5-triphosphate kinase 1 - Drosophila melanogaster - inositol trisphosphate 3-kinase activity - response to oxidative stress - calmodulin binding</t>
  </si>
  <si>
    <t>inositol or phosphatidylinositol kinase activity||kinase activity||transferase activity\, transferring phosphorus\-containing groups||transferase activity||catalytic activity</t>
  </si>
  <si>
    <t>GO:0004428</t>
  </si>
  <si>
    <t>inositol metabolic process||polyol metabolic process||alcohol metabolic process||metabolic process</t>
  </si>
  <si>
    <t>GO:0006020</t>
  </si>
  <si>
    <t>lethal (1) G0320 - Drosophila melanogaster - signal sequence binding - signal recognition particle receptor complex - lipid particle</t>
  </si>
  <si>
    <t>peptide binding</t>
  </si>
  <si>
    <t>sec31 - Drosophila melanogaster - synaptic vesicle - ER to Golgi transport vesicle - Golgi stack - endoplasmic reticulum</t>
  </si>
  <si>
    <t>synaptic vesicle||clathrin\-coated vesicle||coated vesicle||cytoplasmic membrane\-bounded vesicle||cytoplasmic vesicle||nuclear cyclin\-dependent protein kinase holoenzyme complex||cyclin\-dependent protein kinase holoenzyme complex||outer membrane\-bounded periplasmic space||external encapsulating structure part||cell part</t>
  </si>
  <si>
    <t>GO:0008021</t>
  </si>
  <si>
    <t>CG31195 - Drosophila melanogaster - biological_process - molecular_function - cellular_component</t>
  </si>
  <si>
    <t>CG11267 - Drosophila melanogaster - unfolded protein binding - mitochondrion - 'de novo' protein folding - mitochondrial matrix - lipid particle</t>
  </si>
  <si>
    <t>unfolded protein binding||protein binding||binding</t>
  </si>
  <si>
    <t>GO:0051082</t>
  </si>
  <si>
    <t>mitochondrion||nuclear cyclin\-dependent protein kinase holoenzyme complex||cyclin\-dependent protein kinase holoenzyme complex||outer membrane\-bounded periplasmic space||external encapsulating structure part||cell part</t>
  </si>
  <si>
    <t>GO:0005739</t>
  </si>
  <si>
    <t>'de novo' protein folding||protein folding||cellular protein metabolic process||cellular biopolymer metabolic process||cellular macromolecule metabolic process||macromolecule metabolic process||metabolic process</t>
  </si>
  <si>
    <t>GO:0006458</t>
  </si>
  <si>
    <t>Syntaxin 13 - Drosophila melanogaster - synaptic vesicle docking during exocytosis - SNAP receptor activity - plasma membrane - neurotransmitter secretion - vesicle-mediated transport - female meiosis - male meiosis - mitosis - cytokinesis after meiosis I - cytokinesis after mitosis</t>
  </si>
  <si>
    <t>&lt;synaptic vesicle docking during exocytosis||cytoplasmic transport\, nurse cell to oocyte||regulation of purine nucleoside transport||regulation of mRNA export from nucleus||regulation of synaptic vesicle priming||regulation of catecholamine secretion||regulation of L\-glutamate transport||regulation of catecholamine secretion||regulation of intracellular transport||N\-glycan processing to lysosome||serotonin secretion by mast cell||serotonin secretion by basophil||regulation of inhibin secretion||regulation of immune system process||regulation of hypersensitivity||antifungal peptide secretion||antifungal peptide secretion||regulation of vesicle fusion||synaptic vesicle targeting||synaptic vesicle coating||synaptic vesicle priming||regulation of exocytosis||regulation of excretion||uterine wall growth||seed coat development||style development||style development||nectary development||head segmentation||lung development||eclosion rhythm||eclosion rhythm||enucleation||tube fusion||seed growth||innervation</t>
  </si>
  <si>
    <t>GO:0016081</t>
  </si>
  <si>
    <t>mitochondrial NADH-ubiquinone oxidoreductase chain 5 - Drosophila melanogaster - NADH dehydrogenase (ubiquinone) activity - mitochondrion - mitochondrial respiratory chain complex I</t>
  </si>
  <si>
    <t>synaptosome||membrane fraction||insoluble fraction||cell fraction||cell part</t>
  </si>
  <si>
    <t>GO:0019717</t>
  </si>
  <si>
    <t>response to hypoxia||response to oxygen levels||response to chemical stimulus||response to stimulus</t>
  </si>
  <si>
    <t>GO:0001666</t>
  </si>
  <si>
    <t>Sec61alpha - Drosophila melanogaster - SRP-dependent cotranslational protein targeting to membrane, translocation - protein transporter activity - translocon complex - cell death - cuticle development - dorsal closure - head involution</t>
  </si>
  <si>
    <t>protein transporter activity||substrate\-specific transporter activity||transporter activity</t>
  </si>
  <si>
    <t>GO:0008565</t>
  </si>
  <si>
    <t>&lt;translocon complex||intrinsic to contractile vacuolar membrane||intrinsic to contractile vacuolar membrane||intrinsic to chloroplast outer membrane||integral to chloroplast outer membrane||chloroplast outer membrane translocon||chloroplast outer membrane translocon||intrinsic to plastid outer membrane||integral to plastid outer membrane||clathrin coat of synaptic vesicle||longitudinal sarcoplasmic reticulum||chloroplast ATP synthase complex||plastid small ribosomal subunit||plastid small ribosomal subunit||intrinsic to plastid membrane||integral to plastid membrane||cyanelle thylakoid membrane||Mdm10/Mdm12/Mmm1 complex||Mdm10/Mdm12/Mmm1 complex||signal peptidase complex||clathrin vesicle coat||cytoplasmic vesicle part||peribacteroid fluid||COPII vesicle coat||melanosome membrane||chitosome membrane||troponin complex||troponin complex||cuticular plate||cell cortex part||radial spokehead||intracellular part||suberin network||lignin network||pectic matrix||Golgi membrane||axoneme part||cilium part||polarisome||aster||aster||conoid||conoid</t>
  </si>
  <si>
    <t>GO:0005784</t>
  </si>
  <si>
    <t>&lt;SRP\-dependent cotranslational protein targeting to membrane\, translocation||SRP\-dependent cotranslational protein targeting to membrane\, translocation||SRP\-dependent cotranslational protein targeting to membrane\, translocation||positive regulation of calcium ion\-dependent exocytosis||positive regulation of calcium ion\-dependent exocytosis||regulation of T cell mediated immune response to tumor cell||regulation of T cell mediated immune response to tumor cell||positive regulation of immunoglobulin secretion||negative regulation of retinal cell programmed cell death||negative regulation of cumulus cell differentiation||negative regulation of salivary gland boundary specification||BMP signaling pathway involved in forebrain neuron fate commitment||positive regulation of endothelial cell differentiation||negative regulation of synaptic growth at neuromuscular junction||negative regulation of synaptic growth at neuromuscular junction||positive regulation of T\-helper cell differentiation||positive regulation of oligodendrocyte differentiation||positive regulation of oligodendrocyte differentiation||negative regulation of cardiac muscle growth||negative regulation of sorocarp stalk cell differentiation||negative regulation of cardiac muscle growth||negative regulation of axon extension involved in regeneration||negative regulation of axon extension involved in regeneration||activation of signaling protein activity involved in unfolded protein response||nucleotide\-excision repair\, DNA damage removal||positive regulation of chromatin silencing||positive regulation of chromatin silencing||positive regulation of chromatin silencing||positive regulation of chromatin silencing||positive regulation of intracellular lipid transport||negative regulation of microglia differentiation||negative regulation of microglia differentiation||NK T cell lineage commitment</t>
  </si>
  <si>
    <t>GO:0006616</t>
  </si>
  <si>
    <t>mitochondrial NADH-ubiquinone oxidoreductase chain 1 - Drosophila melanogaster - NADH dehydrogenase (ubiquinone) activity - mitochondrion - mitochondrial respiratory chain complex I</t>
  </si>
  <si>
    <t>response to stress||response to stimulus</t>
  </si>
  <si>
    <t>GO:0006950</t>
  </si>
  <si>
    <t>Cyp6a14 - Drosophila melanogaster - microsome - electron carrier activity - membrane</t>
  </si>
  <si>
    <t>&lt;insecticide metabolic process||lipoprotein mediated signaling||regulation of natural killer cell mediated immune response to tumor cell||male courtship behavior||female genitalia morphogenesis||epithelial cell proliferation involved in prostatic bud elongation||epithelial cell proliferation involved in prostate gland development||spermatid differentiation||mating projection assembly||ovarian follicle cell adhesion||primary ovarian follicle growth during primary follicle stage||vitelline membrane formation in chorion\-containing eggshell||primary ovarian follicle growth during primary follicle stage||pre\-microRNA processing||positive regulation of posttranscriptional gene silencing||RNA interference\, conversion of ds siRNA to ss siRNA||regulation of complement activation\, classical pathway||inhibitory G\-protein coupled receptor phosphorylation||inhibitory G\-protein coupled receptor phosphorylation||negative regulation of SMAD protein complex assembly||regulation of activation of membrane attack complex||regulation of activation of membrane attack complex||positive regulation of synaptic vesicle priming||myelin formation in the central nervous system||regulation of vascular smooth muscle contraction||initiation of primordial ovarian follicle growth||posterior lateral line neuromast deposition||anterior lateral line neuromast deposition||glial cell migration in a lateral line nerve||peripheral nervous system neuron development||aorta smooth muscle tissue morphogenesis||regulation of prostatic bud formation||regulation of prostatic bud formation||mammary duct terminal end bud growth||initiation of neural tube closure||neural fold elevation formation||leading edge cell fate commitment||atrichoblast fate specification||muscle thin filament assembly||myoblast cell fate commitment||paraxial mesoderm morphogenesis||neural crest cell development||neural crest cell migration||mesenchymal cell development||hair follicle morphogenesis||root hair initiation||guard cell development||vegetative meristem growth||guard cell development||R8 cell development||ommatidial rotation||inner ear development||otolith formation||root meristem growth||lung induction||trachea formation||cornification||bract formation||organ maturation||eclosion rhythm||pollen adhesion||diapedesis||seed growth||cornification||innervation</t>
  </si>
  <si>
    <t>GO:0017143</t>
  </si>
  <si>
    <t>Trip1 - Drosophila melanogaster - translation - translation initiation factor activity - eukaryotic translation initiation factor 3 complex - cytosol - translational initiation</t>
  </si>
  <si>
    <t>translation initiation factor activity||translation factor activity\, nucleic acid binding||translation regulator activity</t>
  </si>
  <si>
    <t>translation regulator activity</t>
  </si>
  <si>
    <t>translation factor activity\, nucleic acid binding</t>
  </si>
  <si>
    <t>GO:0003743</t>
  </si>
  <si>
    <t>eukaryotic translation initiation factor 3 complex||nuclear cyclin\-dependent protein kinase holoenzyme complex||cyclin\-dependent protein kinase holoenzyme complex||outer membrane\-bounded periplasmic space||external encapsulating structure part||cell part</t>
  </si>
  <si>
    <t>GO:0005852</t>
  </si>
  <si>
    <t>Non-essential hydrolase involved in mRNA decapping, may function in a feedback mechanism to regulate deadenylation, contains pyrophosphatase activity and a HIT (histidine triad) motif - Saccharomyces cerevisiae - deadenylation-dependent decapping of nuclear-transcribed mRNA - cytoplasmic mRNA processing body - nucleus - cytoplasm - mitochondrion - proteolysis - autophagy - vacuolar protein catabolic process - hydrolase activity, acting on acid anhydrides, in phosphorus-containing anhydrides - nuclear-transcribed mRNA catabolic process, deadenylation-independent decay - m7G(5')pppN diphosphatase activity</t>
  </si>
  <si>
    <t>hydrolase activity\, acting on acid anhydrides\, in phosphorus\-containing anhydrides||hydrolase activity\, acting on acid anhydrides||hydrolase activity||catalytic activity</t>
  </si>
  <si>
    <t>GO:0016818</t>
  </si>
  <si>
    <t>cytoplasmic mRNA processing body||nuclear cyclin\-dependent protein kinase holoenzyme complex||cyclin\-dependent protein kinase holoenzyme complex||outer membrane\-bounded periplasmic space||external encapsulating structure part||cell part</t>
  </si>
  <si>
    <t>GO:0000932</t>
  </si>
  <si>
    <t>&lt;deadenylation\-dependent decapping of nuclear\-transcribed mRNA||regulation of glycogen catabolic process||regulation of glycogen catabolic process||initiation of movement involved in cerebral cortex radial glia guided migration||B\-1 B cell lineage commitment||regulation of toll\-like receptor 9 signaling pathway||regulation of toll\-like receptor 9 signaling pathway||pole plasm protein localization||epithelial cell differentiation involved in mammary gland cord morphogenesis||cartilage development||follicle\-stimulating hormone signaling pathway||neurohypophysis morphogenesis||thyroid stimulating hormone secreting cell development||adenohypophysis morphogenesis||adenohypophysis morphogenesis||hemocyte migration||hemocyte migration||dichotomous subdivision of terminal units involved in ureteric bud branching||imaginal disc\-derived genitalia morphogenesis||imaginal disc\-derived genitalia morphogenesis||embryonic camera\-type eye morphogenesis||maturation of appressorium on or near host||maturation of appressorium on or near host||epidermal cell fate specification||motogenic signaling initiating cell movement in the cerebral cortex||embryonic camera\-type eye morphogenesis||post\-embryonic ectodermal gut morphogenesis||ventricular cardiac muscle cell development||smoothened signaling pathway involved in ventral spinal cord patterning||regulation of sevenless signaling pathway||regulation of compound eye retinal cell programmed cell death||sevenless signaling pathway||sevenless signaling pathway||regulation of erythrocyte differentiation||epidermal cell differentiation||negative regulation of appressorium maturation on or near host||generation of mature 5'\-end of LSU\-rRNA from tricistronic rRNA transcript (SSU\-rRNA\, 5.8S rRNA\, LSU\-rRNA)||JAK\-STAT cascade involved in growth hormone signaling pathway||fertilization\, exchange of chromosomal proteins||sister chromosome movement towards spindle pole during meiosis II||sister chromosome movement towards spindle pole during meiosis II||positive regulation of mitochondrial translational initiation||regulation of protein import into nucleus\, translocation||ascospore wall assembly||regulation of compound eye photoreceptor development||regulation of compound eye photoreceptor development||regulation of follicle cell microvillus organization||meiotic sister chromatid segregation||activation of JNKK activity||regulation of membrane potential in photoreceptor cell||synaptic vesicle fusion to presynaptic membrane||regulation of leukocyte activation||prevention of polyspermy||plastid membrane organization||spermatogenesis\, exchange of chromosomal proteins||regulation of pole plasm oskar mRNA localization||cleavage between 2S rRNA and LSU\-rRNA of tetracistronic rRNA transcript (SSU\-rRNA\, 5.8S rRNA\, 2S rRNA\, LSU\-rRNA)||cleavage between 5.8S rRNA and 2S rRNA of tetracistronic rRNA transcript (SSU\-rRNA\, 5.8S rRNA\, 2S rRNA\, LSU\-rRNA)||positive regulation of natriuresis by angiotensin||paranodal junction assembly||regulation of pole plasm oskar mRNA localization</t>
  </si>
  <si>
    <t>GO:0000290</t>
  </si>
  <si>
    <t>ribosomal protein L27 - Rattus norvegicus - cytosol - translational elongation</t>
  </si>
  <si>
    <t>ribonucleoprotein complex||outer membrane\-bounded periplasmic space||external encapsulating structure part||cell part</t>
  </si>
  <si>
    <t>GO:0030529</t>
  </si>
  <si>
    <t>NMDA receptor regulated 2 - Rattus norvegicus - nucleus</t>
  </si>
  <si>
    <t>hu li tai shao - Drosophila melanogaster - ring canal formation, actin assembly - fusome - fusome organization - spectrosome - female germ-line cyst formation - germarium-derived oocyte fate determination - germline ring canal - germline ring canal inner rim - actin binding - germ-line cyst formation - spectrosome organization - cystoblast division - ovarian fusome organization - testicular fusome organization - meiotic spindle organization - centrosome organization - plasma membrane - lipid particle</t>
  </si>
  <si>
    <t>actin binding||cytoskeletal protein binding||protein binding||binding</t>
  </si>
  <si>
    <t>GO:0003779</t>
  </si>
  <si>
    <t>fusome||nuclear cyclin\-dependent protein kinase holoenzyme complex||cyclin\-dependent protein kinase holoenzyme complex||outer membrane\-bounded periplasmic space||external encapsulating structure part||cell part</t>
  </si>
  <si>
    <t>GO:0045169</t>
  </si>
  <si>
    <t>&lt;ring canal formation\, actin assembly||eggshell chorion gene amplification||plasma membrane fusion during cytogamy||acquisition of desiccation tolerance||acquisition of desiccation tolerance||regulation of teliospore formation||regulation of zoospore formation||regulation of JAK\-STAT cascade||regulation of anti\-apoptosis||regulation of anti\-apoptosis||regulation of anti\-apoptosis||regulation of tissue remodeling||regulation of bone remodeling||renal sodium ion transport||regulation of system process||regulation of natriuresis||endothelin maturation||progesterone secretion||regulation of ovulation||neuropore closure||pollen tube guidance||bone morphogenesis||leaf formation||shoot development||root development||eclosion rhythm||pollen adhesion||diapedesis||seed growth||cornification||innervation</t>
  </si>
  <si>
    <t>GO:0008302</t>
  </si>
  <si>
    <t>Organic anion transporting polypeptide 58Dc - Drosophila melanogaster - organic anion transport - sodium-independent organic anion transmembrane transporter activity - integral to membrane - organic anion transmembrane transporter activity</t>
  </si>
  <si>
    <t>sodium\-independent organic anion transmembrane transporter activity||organic anion transmembrane transporter activity||anion transmembrane transporter activity||ion transmembrane transporter activity||substrate\-specific transmembrane transporter activity||substrate\-specific transporter activity||transporter activity</t>
  </si>
  <si>
    <t>GO:0015347</t>
  </si>
  <si>
    <t>organic anion transport||anion transport||ion transport||transport||cellular localization||localization</t>
  </si>
  <si>
    <t>GO:0015711</t>
  </si>
  <si>
    <t>Caenorhabditis elegans - embryonic development ending in birth or egg hatching - growth - nematode larval development - reproduction - molting cycle, collagen and cuticulin-based cuticle - oocyte growth - ovulation from ovarian follicle - intracellular protein transport</t>
  </si>
  <si>
    <t>Oligomycin sensitivity-conferring protein - Drosophila melanogaster - hydrogen-exporting ATPase activity, phosphorylative mechanism - proton transport - mitochondrial proton-transporting ATP synthase, central stalk - lipid particle</t>
  </si>
  <si>
    <t>&lt;mitochondrial proton\-transporting ATP synthase\, central stalk||mitochondrial proton\-transporting ATP synthase\, stator stalk||DNA replication factor C core complex||mitochondrial proton\-transporting ATP synthase\, central stalk||mitochondrial inner membrane peptidase complex||COMA complex||COMA complex||MCM complex||SSL2\-core TFIIH complex portion of holo TFIIH complex||nuclear proteasome regulatory particle\, base subcomplex||nuclear proteasome core complex\, beta\-subunit complex||lamin filament||core TFIIH complex portion of holo TFIIH complex||rDNA protrusion||outer kinetochore of condensed nuclear chromosome||outer kinetochore of condensed nuclear chromosome||glyoxysomal membrane||glyoxysomal membrane||mitochondrial glutamate synthase complex (NADH)||mitochondrial glutamate synthase complex (NADH)||UDP\-N\-acetylglucosamine transferase complex||Sec complex\-associated translocon complex||intrinsic to endoplasmic reticulum membrane||cytoplasmic part||UDP\-N\-acetylglucosamine transferase complex||Sec complex\-associated translocon complex||intrinsic to endoplasmic reticulum membrane||nuclear lamina||glycine\-gated chloride channel complex||Cdc48p\-Npl4p\-Ufd1p AAA ATPase complex||ionotropic glutamate receptor complex||clathrin coat of synaptic vesicle||intrinsic to plastid outer membrane||integral to plastid outer membrane||intrinsic to peroxisomal membrane||plasmodesmatal plasma membrane||oncostatin\-M receptor complex||integral to thylakoid membrane||succinate dehydrogenase complex||cyanelle thylakoid membrane||mitochondrial membrane part||Mdm10/Mdm12/Mmm1 complex||flagellar pocket membrane||signal peptidase complex||spindle pole centrosome||perichromatin fibrils||proplastid nucleoid||plastid chromosome||plastid chromosome||nucleoplasm part||nuclear membrane||RITS complex||Golgi cisterna||vesicle coat||CBF3 complex||stereocilium||snRNP U6||yolk plasma||C zone||C zone||aster||aster||mononeme||cell part</t>
  </si>
  <si>
    <t>GO:0005756</t>
  </si>
  <si>
    <t>NP15.6 - Drosophila melanogaster - biological_process - molecular_function - cellular_component</t>
  </si>
  <si>
    <t>CG4893 - Drosophila melanogaster - biological_process - molecular_function - cellular_component</t>
  </si>
  <si>
    <t>DnaJ homolog dnj-10 - Caenorhabditis elegans - protein binding</t>
  </si>
  <si>
    <t>small GTPase regulator activity||GTPase regulator activity||nucleoside\-triphosphatase regulator activity||enzyme regulator activity</t>
  </si>
  <si>
    <t>GO:0005083</t>
  </si>
  <si>
    <t>mitochondrial DNA replication||DNA\-dependent DNA replication||DNA replication||cellular biopolymer biosynthetic process||cellular macromolecule biosynthetic process||cellular macromolecule metabolic process||macromolecule metabolic process||metabolic process</t>
  </si>
  <si>
    <t>GO:0006264</t>
  </si>
  <si>
    <t>spaghetti squash - Drosophila melanogaster - unconventional myosin complex - ovarian follicle cell development - ATPase activity, coupled - ovarian nurse cell to oocyte transport - cellularization - cytokinesis - imaginal disc-derived wing hair organization - border follicle cell migration - establishment of planar polarity - calcium ion binding - nuclear axial expansion - spindle midzone - cytoplasm - midbody - cleavage furrow - myosin heavy chain binding - regulation of actin cytoskeleton organization</t>
  </si>
  <si>
    <t>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</si>
  <si>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GO:0042623</t>
  </si>
  <si>
    <t>unconventional myosin complex||myosin complex||cortical cytoskeleton||cytoskeleton||intracellular non\-membrane\-bounded organelle||intracellular organelle||outer membrane\-bounded periplasmic space||external encapsulating structure part||cell part</t>
  </si>
  <si>
    <t>GO:0016461</t>
  </si>
  <si>
    <t>&lt;ovarian follicle cell development||follicular fluid formation in ovarian follicle antrum during scattered antral spaces stage||follicular fluid formation in ovarian follicle antrum during distinct antral spaces stage||regulation of post\-mating oviposition||preantral ovarian follicle growth||ovulation cycle process||carpel structural organization||stamen structural organization||ovarian ring canal formation||positive regulation of asexual sporulation resulting in formation of a cellular spore||chemoattraction involved in interneuron migration from the subpallium to the cortex||chemorepulsion involved in interneuron migration from the subpallium to the cortex||regulation of T cell mediated cytotoxicity directed against tumor cell target||regulation of T cell mediated cytotoxicity directed against tumor cell target||bronchus cartilage morphogenesis||facial nerve structural organization||blood vessel endothelial cell proliferation during sprouting angiogenesis||secondary neural tube rod cavitation||neural rod cavitation||mammary gland cord formation||regulation of branching involved in mammary gland duct morphogenesis||neural rod formation||myotube cell development involved in skeletal muscle regeneration||epithelial cell proliferation involved in prostatic bud elongation||neural fold hinge point formation||tertiary branching involved in mammary gland duct morphogenesis||bud dilation involved in lung branching||bud dilation involved in lung branching||epithelial cell morphogenesis involved in placental branching||epithelial cell morphogenesis involved in placental branching||mesodermal cell migration||epithelial cell proliferation involved in lung bud dilation||negative regulation of retinal cone cell fate commitment||rhabdomere development||post\-embryonic retina morphogenesis in camera\-type eye||regulation of branchiomeric skeletal muscle development||long\-term strengthening of neuromuscular junction||long\-term strengthening of neuromuscular junction||long\-term strengthening of neuromuscular junction||cell adhesion involved in prostatic bud elongation||superior olivary nucleus structural organization||superior olivary nucleus structural organization||cell movement involved in somal translocation||ventral spinal cord interneuron fate commitment||peripheral nervous system neuron axonogenesis||regulation of mechanoreceptor differentiation||spinal cord commissural neuron specification||central nervous system neuron axonogenesis||central nervous system neuron differentiation||superior reticular formation development||glioblast cell division in the pallium||glioblast cell division in the pallium||regulation of central tolerance induction||post\-embryonic hindgut morphogenesis||somatic motor neuron fate commitment||corticospinal neuron axon guidance||rhombomere structural organization||pial surface process extension||anterior commissure morphogenesis||orbitofrontal cortex development||forebrain astrocyte development||interkinetic nuclear migration||elongation of arista lateral||specification of petal number||sepal formation||wing cell fate specification||multicellular organismal aging||Sertoli cell proliferation||Sertoli cell development||ovarian follicle atresia||progesterone secretion||optic placode formation||neural fold bending||neural fold bending||dorsal convergence||gonad morphogenesis||leg segmentation||fin morphogenesis||cytokine secretion||pollen hydration||pollen adhesion||diapedesis||seed growth||cornification||innervation</t>
  </si>
  <si>
    <t>GO:0030707</t>
  </si>
  <si>
    <t>RNA polymerase I upstream activation factor complex subunit Spp27 - Schizosaccharomyces pombe - RNA polymerase I upstream activating factor complex - RNA polymerase I transcription factor activity - protein binding - transcription from RNA polymerase I promoter - nucleus - cytosol</t>
  </si>
  <si>
    <t>RNA polymerase I transcription factor activity||transcription regulator activity</t>
  </si>
  <si>
    <t>transcription regulator activity</t>
  </si>
  <si>
    <t>RNA polymerase I transcription factor activity</t>
  </si>
  <si>
    <t>GO:0003701</t>
  </si>
  <si>
    <t>RNA polymerase I upstream activating factor complex||RNA polymerase I transcription factor complex||transcription factor complex||terminal cisterna lumen||sarcoplasmic reticulum lumen||endoplasmic reticulum lumen||intracellular organelle lumen||intracellular non\-membrane\-bounded organelle||intracellular organelle||outer membrane\-bounded periplasmic space||external encapsulating structure part||cell part</t>
  </si>
  <si>
    <t>GO:0000500</t>
  </si>
  <si>
    <t>transcription from RNA polymerase I promoter||transcription\, DNA\-dependent||transcription||cellular biopolymer biosynthetic process||cellular macromolecule biosynthetic process||cellular macromolecule metabolic process||macromolecule metabolic process||metabolic process</t>
  </si>
  <si>
    <t>GO:0006360</t>
  </si>
  <si>
    <t>Dorsal interacting protein 3 - Drosophila melanogaster - protein binding - nucleus - positive regulation of transcription - DNA binding - transcription factor activity</t>
  </si>
  <si>
    <t>positive regulation of transcription||positive regulation of nucleobase\, nucleoside\, nucleotide and nucleic acid metabolic process||regulation of nucleobase\, nucleoside\, nucleotide and nucleic acid metabolic process||regulation of nitrogen compound metabolic process||regulation of metabolic process||regulation of biological process||biological regulation</t>
  </si>
  <si>
    <t>GO:0045941</t>
  </si>
  <si>
    <t>CG5590 - Drosophila melanogaster - oxidoreductase activity, acting on the CH-OH group of donors, NAD or NADP as acceptor - lipid particle</t>
  </si>
  <si>
    <t>3\-alpha(or 20\-beta)\-hydroxysteroid dehydrogenase activity||steroid dehydrogenase activity\, acting on the CH\-OH group of donors\, NAD or NADP as acceptor||oxidoreductase activity\, acting on the CH\-OH group of donors\, NAD or NADP as acceptor||oxidoreductase activity\, acting on CH\-OH group of donors||oxidoreductase activity||catalytic activity</t>
  </si>
  <si>
    <t>GO:0047044</t>
  </si>
  <si>
    <t>steroid metabolic process||cellular lipid metabolic process||lipid metabolic process||primary metabolic process||metabolic process</t>
  </si>
  <si>
    <t>GO:0008202</t>
  </si>
  <si>
    <t>hemoglobin alpha, adult chain 1 - Mus musculus - in utero embryonic development - erythrocyte development</t>
  </si>
  <si>
    <t>beta\-amyloid binding||protein binding||binding</t>
  </si>
  <si>
    <t>GO:0001540</t>
  </si>
  <si>
    <t>in utero embryonic development||chordate embryonic development||embryonic development ending in birth or egg hatching||plantlet formation on parent plant||multicellular organism reproduction||multicellular organismal process</t>
  </si>
  <si>
    <t>GO:0001701</t>
  </si>
  <si>
    <t>cell division cycle 2-like 1 (PITSLRE proteins) - Danio rerio - cellular_component - smoothened signaling pathway</t>
  </si>
  <si>
    <t>protein amino acid phosphorylation||post\-translational protein modification||protein modification process||cellular protein metabolic process||cellular biopolymer metabolic process||cellular macromolecule metabolic process||macromolecule metabolic process||metabolic process</t>
  </si>
  <si>
    <t>GO:0006468</t>
  </si>
  <si>
    <t>CG7630 - Drosophila melanogaster - lipid particle</t>
  </si>
  <si>
    <t>lipid particle||nuclear cyclin\-dependent protein kinase holoenzyme complex||cyclin\-dependent protein kinase holoenzyme complex||outer membrane\-bounded periplasmic space||external encapsulating structure part||cell part</t>
  </si>
  <si>
    <t>GO:0005811</t>
  </si>
  <si>
    <t>His1:CG31617 - Drosophila melanogaster - chromatin assembly or disassembly - DNA binding - nucleus</t>
  </si>
  <si>
    <t>chromatin assembly or disassembly||chromatin organization||chromosome organization||organelle organization||cellular component organization</t>
  </si>
  <si>
    <t>GO:0006333</t>
  </si>
  <si>
    <t>SYF2 homolog, RNA splicing factor (S. cerevisiae) - Rattus norvegicus - protein binding - nucleus</t>
  </si>
  <si>
    <t>spliceosome||microsporocyte nucleus||nucleus||intracellular membrane\-bounded organelle||intracellular organelle||outer membrane\-bounded periplasmic space||external encapsulating structure part||cell part</t>
  </si>
  <si>
    <t>GO:0005681</t>
  </si>
  <si>
    <t>nuclear mRNA splicing\, via spliceosome||RNA splicing\, via transesterification reactions with bulged adenosine as nucleophile||RNA splicing\, via transesterification reactions||RNA splicing||RNA processing||RNA metabolic process||cellular biopolymer metabolic process||cellular macromolecule metabolic process||macromolecule metabolic process||metabolic process</t>
  </si>
  <si>
    <t>GO:0000398</t>
  </si>
  <si>
    <t>CG11159 - Drosophila melanogaster - lysozyme activity - antimicrobial humoral response - autophagic cell death - salivary gland cell autophagic cell death</t>
  </si>
  <si>
    <t>lysozyme activity||hydrolase activity\, hydrolyzing O\-glycosyl compounds||hydrolase activity\, acting on glycosyl bonds||hydrolase activity||catalytic activity</t>
  </si>
  <si>
    <t>GO:0003796</t>
  </si>
  <si>
    <t>agrin - Mus musculus - regulation of synaptic growth at neuromuscular junction - cell surface - receptor clustering - basal lamina - basement membrane - synapse - positive regulation of transcription from RNA polymerase II promoter - neuromuscular junction development - extracellular space - acetylcholine receptor regulator activity - synaptic transmission - plasma membrane organization - neurotransmitter receptor metabolic process</t>
  </si>
  <si>
    <t>acetylcholine receptor regulator activity||receptor regulator activity||receptor signaling protein activity||signal transducer activity||molecular transducer activity</t>
  </si>
  <si>
    <t>GO:0030548</t>
  </si>
  <si>
    <t>cell surface||cell part</t>
  </si>
  <si>
    <t>cell surface</t>
  </si>
  <si>
    <t>GO:0009986</t>
  </si>
  <si>
    <t>&amp;regulation of synaptic growth at neuromuscular junction||cell proliferation involved in neural plate elongation||regulation of polarized epithelial cell differentiation||cell\-cell adhesion involved in neural tube closure||regulation of retinal cone cell fate specification||camera\-type eye photoreceptor cell fate commitment||camera\-type eye photoreceptor cell differentiation||embryonic retina morphogenesis in camera\-type eye||regulation of retinal rod cell fate commitment||dorsal closure\, spreading of leading edge cells||regulation of atrichoblast fate specification||regulation of atrichoblast fate specification||compound eye photoreceptor cell differentiation||proboscis morphogenesis\, labial disc\-derived||cerebellar Purkinje cell differentiation||cerebellar Purkinje cell layer formation||cerebellar basket cell differentiation||cerebellar Golgi cell differentiation||superior reticular formation development||glioblast cell division in the pallium||glioblast cell division in the pallium||stomatogastric nervous system development||regulation of nervous system development||regulation of neuron differentiation||photoreceptor cell fate commitment||axon choice point recognition||regulation of axon extension||forebrain neuron differentiation||central nervous system formation||rhombomere cell proliferation||globose nucleus development||fourth ventricle development||cell migration in hindbrain||salivary gland morphogenesis||locus ceruleus maturation||rhombomere 8 formation||hippocampus development||astrocyte differentiation||guard cell development||labrum morphogenesis||notum morphogenesis||stigma development||ovule development||style development||head segmentation||pollen maturation||head involution||dorsal closure||pollen adhesion||diapedesis||seed growth||cornification||innervation</t>
  </si>
  <si>
    <t>GO:0008582</t>
  </si>
  <si>
    <t>Pinocchio - Drosophila melanogaster - olfactory behavior - response to chemical stimulus</t>
  </si>
  <si>
    <t>olfactory behavior||chemosensory behavior||response to chemical stimulus||response to stimulus</t>
  </si>
  <si>
    <t>GO:0042048</t>
  </si>
  <si>
    <t>Eukaryotic initiation factor 3 p40 subunit - Drosophila melanogaster - translational initiation - translation initiation factor activity - eukaryotic translation initiation factor 3 complex - cytosol</t>
  </si>
  <si>
    <t>&lt;translational initiation||positive regulation of sequestering of triglyceride||motogenic signaling involved in postnatal olfactory bulb interneuron migration||initiation of movement involved in cerebral cortex radial glia guided migration||regulation of norepinephrine uptake||regulation of toll\-like receptor 13 signaling pathway||B\-1 B cell lineage commitment||regulation of toll\-like receptor 9 signaling pathway||regulation of toll\-like receptor 9 signaling pathway||pole plasm protein localization||epithelial cell differentiation involved in mammary gland cord morphogenesis||cartilage development||follicle\-stimulating hormone signaling pathway||neurohypophysis morphogenesis||thyroid stimulating hormone secreting cell development||adenohypophysis morphogenesis||adenohypophysis morphogenesis||hemocyte migration||hemocyte migration||dichotomous subdivision of terminal units involved in ureteric bud branching||imaginal disc\-derived genitalia morphogenesis||imaginal disc\-derived genitalia morphogenesis||embryonic camera\-type eye morphogenesis||maturation of appressorium on or near host||maturation of appressorium on or near host||epidermal cell fate specification||motogenic signaling initiating cell movement in the cerebral cortex||embryonic camera\-type eye morphogenesis||post\-embryonic ectodermal gut morphogenesis||ventricular cardiac muscle cell development||smoothened signaling pathway involved in ventral spinal cord patterning||regulation of sevenless signaling pathway||regulation of compound eye retinal cell programmed cell death||sevenless signaling pathway||sevenless signaling pathway||regulation of erythrocyte differentiation||epidermal cell differentiation||negative regulation of appressorium maturation on or near host||generation of mature 5'\-end of LSU\-rRNA from tricistronic rRNA transcript (SSU\-rRNA\, 5.8S rRNA\, LSU\-rRNA)||JAK\-STAT cascade involved in growth hormone signaling pathway||fertilization\, exchange of chromosomal proteins||sister chromosome movement towards spindle pole during meiosis II||sister chromosome movement towards spindle pole during meiosis II||positive regulation of mitochondrial translational initiation||regulation of protein import into nucleus\, translocation||ascospore wall assembly||regulation of compound eye photoreceptor development||regulation of compound eye photoreceptor development||regulation of follicle cell microvillus organization||meiotic sister chromatid segregation||activation of JNKK activity||regulation of membrane potential in photoreceptor cell||synaptic vesicle fusion to presynaptic membrane||regulation of leukocyte activation||prevention of polyspermy||plastid membrane organization||spermatogenesis\, exchange of chromosomal proteins||regulation of pole plasm oskar mRNA localization||cleavage between 2S rRNA and LSU\-rRNA of tetracistronic rRNA transcript (SSU\-rRNA\, 5.8S rRNA\, 2S rRNA\, LSU\-rRNA)||cleavage between 5.8S rRNA and 2S rRNA of tetracistronic rRNA transcript (SSU\-rRNA\, 5.8S rRNA\, 2S rRNA\, LSU\-rRNA)||positive regulation of natriuresis by angiotensin||paranodal junction assembly||regulation of pole plasm oskar mRNA localization</t>
  </si>
  <si>
    <t>GO:0006413</t>
  </si>
  <si>
    <t>CG17824 - Drosophila melanogaster - structural constituent of peritrophic membrane</t>
  </si>
  <si>
    <t>PPPDE peptidase domain containing 1 - Danio rerio - convergent extension involved in gastrulation - molecular_function - cellular_component</t>
  </si>
  <si>
    <t>&lt;convergent extension involved in gastrulation||cell\-cell adhesion involved in gastrulation||regulation of interleukin\-1 beta secretion||regulation of mast cell cytokine production||positive regulation of platelet activation||antifungal peptide biosynthetic process||antifungal peptide biosynthetic process||regulation of plasminogen activation||regulation of protein desumoylation||regulation of histone modification||regulation of viral transcription||regulation of telomere maintenance||meiotic joint molecule formation||telomeric 3' overhang formation||regulation of DNA recombination||meiotic heteroduplex formation||DNA replication termination||regulation of transcription||regulation of DNA ligation||DNA strand renaturation||lipoxygenase pathway||lipoxygenase pathway||lipoxygenase pathway||spliceosome assembly||tRNA exon ligation||photosystem II repair||germ cell attraction||exocyst assembly||exocyst assembly||vesicle targeting||beta selection||seed maturation||tube development||lung growth||lung growth||cornification||innervation</t>
  </si>
  <si>
    <t>GO:0060027</t>
  </si>
  <si>
    <t>Ribosomal protein S14b - Drosophila melanogaster - translation - structural constituent of ribosome - cytosolic small ribosomal subunit - ribosome</t>
  </si>
  <si>
    <t>cytosolic small ribosomal subunit||small ribosomal subunit||polysomal ribosome||ribosome||nuclear cyclin\-dependent protein kinase holoenzyme complex||cyclin\-dependent protein kinase holoenzyme complex||outer membrane\-bounded periplasmic space||external encapsulating structure part||cell part</t>
  </si>
  <si>
    <t>GO:0022627</t>
  </si>
  <si>
    <t>fractured callus expressed transcript 1 - Mus musculus - mitochondrion</t>
  </si>
  <si>
    <t>P\-P\-bond\-hydrolysis\-driven protein transmembrane transporter activity||P\-P\-bond\-hydrolysis\-driven transmembrane transporter activity||primary active transmembrane transporter activity||active transmembrane transporter activity||transmembrane transporter activity||transporter activity</t>
  </si>
  <si>
    <t>GO:0015450</t>
  </si>
  <si>
    <t>&lt;mitochondrial inner membrane presequence translocase complex||mitochondrial inner membrane presequence translocase complex||plasma membrane proton\-transporting ATP synthase\, stator stalk||mitochondrial respiratory chain complex I\, membrane segment||mitochondrial respiratory chain complex I\, membrane segment||mitochondrial proton\-transporting ATP synthase complex\, catalytic core F(1)||mitochondrial proton\-transporting ATP synthase complex\, catalytic core F(1)||mitochondrial proton\-transporting ATP synthase complex\, catalytic core F(1)||mitochondrial proton\-transporting ATP synthase complex\, catalytic core F(1)||mitochondrial proton\-transporting ATP synthase complex\, catalytic core F(1)||mitochondrial proton\-transporting ATP synthase complex\, catalytic core F(1)||mitochondrial proton\-transporting ATP synthase complex\, catalytic core F(1)||DNA polymerase III\, proofreading complex</t>
  </si>
  <si>
    <t>DNA polymerase III\, proofreading complex</t>
  </si>
  <si>
    <t>mitochondrial proton\-transporting ATP synthase complex\, catalytic core F(1)</t>
  </si>
  <si>
    <t>GO:0005744</t>
  </si>
  <si>
    <t>protein transport||cellular protein localization||protein localization||macromolecule localization||localization</t>
  </si>
  <si>
    <t>GO:0015031</t>
  </si>
  <si>
    <t>agrin - Rattus norvegicus - proteinaceous extracellular matrix - basement membrane - basal lamina - extracellular space - plasma membrane organization - synaptic transmission - synaptogenesis - neuromuscular junction development - regulation of synaptic growth at neuromuscular junction - cell surface - acetylcholine receptor regulator activity - receptor clustering - synapse - neurotransmitter receptor metabolic process - positive regulation of transcription from RNA polymerase II promoter</t>
  </si>
  <si>
    <t>proteinaceous extracellular matrix||extracellular matrix||apoplast||extracellular region</t>
  </si>
  <si>
    <t>apoplast</t>
  </si>
  <si>
    <t>GO:0005578</t>
  </si>
  <si>
    <t>plasma membrane organization||membrane organization||cellular component organization</t>
  </si>
  <si>
    <t>GO:0007009</t>
  </si>
  <si>
    <t>poils au dos - Drosophila melanogaster - bristle morphogenesis</t>
  </si>
  <si>
    <t>nucleic acid binding||binding</t>
  </si>
  <si>
    <t>GO:0003676</t>
  </si>
  <si>
    <t>Histone H1 - Drosophila melanogaster - chromatin assembly or disassembly - DNA binding - nucleus - negative regulation of histone modification</t>
  </si>
  <si>
    <t>Ribosomal protein S4 - Drosophila melanogaster - translation - structural constituent of ribosome - cytosolic small ribosomal subunit - ribosome - lipid particle - mitotic spindle elongation - mitotic spindle organization</t>
  </si>
  <si>
    <t>zgc:152896 - Danio rerio - cellular_component</t>
  </si>
  <si>
    <t>UDP\-glucose\:glycoprotein glucosyltransferase activity||UDP\-glucosyltransferase activity||glucosyltransferase activity||transferase activity\, transferring hexosyl groups||transferase activity\, transferring glycosyl groups||transferase activity||catalytic activity</t>
  </si>
  <si>
    <t>GO:0003980</t>
  </si>
  <si>
    <t>endoplasmic reticulum||nuclear cyclin\-dependent protein kinase holoenzyme complex||cyclin\-dependent protein kinase holoenzyme complex||outer membrane\-bounded periplasmic space||external encapsulating structure part||cell part</t>
  </si>
  <si>
    <t>GO:0005783</t>
  </si>
  <si>
    <t>protein folding||cellular protein metabolic process||cellular biopolymer metabolic process||cellular macromolecule metabolic process||macromolecule metabolic process||metabolic process</t>
  </si>
  <si>
    <t>GO:0006457</t>
  </si>
  <si>
    <t>golgi SNAP receptor complex member 1 - Rattus norvegicus - Golgi membrane - SNAP receptor activity - protein binding - Golgi apparatus - cis-Golgi network - ER to Golgi vesicle-mediated transport - integral to membrane - retrograde transport, endosome to Golgi</t>
  </si>
  <si>
    <t>ER to Golgi vesicle\-mediated transport||Golgi vesicle transport||intracellular transport||establishment of localization in cell||cellular localization||localization</t>
  </si>
  <si>
    <t>GO:0006888</t>
  </si>
  <si>
    <t>vacuolar protein sorting 28 homolog (S. cerevisiae) - Rattus norvegicus - protein binding - cytoplasm - endosome - cytosol - negative regulation of protein ubiquitination</t>
  </si>
  <si>
    <t>-negative regulation of protein ubiquitination||negative regulation of protein ubiquitination||negative regulation of DNA replication||regulation of prostaglandin biosynthetic process||regulation of prostaglandin biosynthetic process||regulation of prosta</t>
  </si>
  <si>
    <t>GO:0031397</t>
  </si>
  <si>
    <t>CG5112 - Drosophila melanogaster - fatty acid amide hydrolase activity - lipid particle</t>
  </si>
  <si>
    <t>glutamyl\-tRNA aminoacylation||tRNA aminoacylation for protein translation||tRNA aminoacylation||amino acid activation||cellular amino acid metabolic process||cellular amine metabolic process||cellular carbohydrate metabolic process||carbohydrate metabolic process||primary metabolic process||metabolic process</t>
  </si>
  <si>
    <t>GO:0006424</t>
  </si>
  <si>
    <t>ganglioside induced differentiation associated protein 2 - Danio rerio - cellular_component - molecular_function</t>
  </si>
  <si>
    <t>response to retinoic acid||response to vitamin A||response to vitamin||response to nutrient||response to nutrient levels||response to extracellular stimulus||response to external stimulus||response to stimulus</t>
  </si>
  <si>
    <t>GO:0032526</t>
  </si>
  <si>
    <t>mitochondrial ribosomal protein L33 - Drosophila melanogaster - translation - structural constituent of ribosome - mitochondrial large ribosomal subunit - mitochondrion</t>
  </si>
  <si>
    <t>&lt;mitochondrial large ribosomal subunit||clathrin coat of trans\-Golgi network vesicle||clathrin coat of trans\-Golgi network vesicle||merozoite dense granule membrane||clathrin coat of endocytic vesicle||clathrin coat of endocytic vesicle||chloroplast thylakoid membrane||mitochondrial respiratory chain||mitochondrial proton\-transporting ATP synthase complex\, coupling factor F(o)||mitochondrial inner membrane protein insertion complex||fatty acid beta\-oxidation multienzyme complex||fatty acid beta\-oxidation multienzyme complex||TRAPP complex||ESCRT II complex||ESCRT I complex||ESCRT I complex||chloroplast photosystem I||Tic complex||Tic complex||chloroplast intermembrane space||PSII associated light\-harvesting complex II\, peripheral complex||mitochondrial proton\-transporting ATP synthase\, catalytic core||mitochondrial proton\-transporting ATP synthase\, central stalk||mitochondrial proton\-transporting ATP synthase\, catalytic core||mitochondrial proton\-transporting ATP synthase\, stator stalk||striated muscle thin filament||macropinocytic cup cytoskeleton||mitochondrial proton\-transporting ATP synthase\, stator stalk||apical junction complex||sarcoglycan complex||oxygen evolving complex||mitochondrial respiratory chain complex III||mitochondrial respiratory chain complex IV||mitochondrial respiratory chain complex I||nuclear proteasome regulatory particle\, lid subcomplex||lamin filament||core TFIIH complex portion of holo TFIIH complex||rDNA protrusion||outer kinetochore of condensed nuclear chromosome||outer kinetochore of condensed nuclear chromosome||gamma\-tubulin large complex\, spindle pole body||spindle pole body||NMS complex||nucleolar part||Sec complex\-associated translocon complex||intrinsic to endoplasmic reticulum membrane||actin capping protein of dynactin complex||condensed nuclear chromosome kinetochore||intermediate layer of spindle pole body||chiasma||platelet dense tubular network membrane||intrinsic to plastid outer membrane||integral to plastid outer membrane||plastid biotin carboxylase complex||chloroplast ATP synthase complex||snRNP U2||nuclear proteasome core complex||Swr1 complex||gamma DNA polymerase complex||mitochondrial membrane part||intrinsic to Golgi membrane||recycling endosome membrane||tertiary granule membrane||chromaffin granule lumen||peribacteroid membrane||clathrin vesicle coat||acidocalcisome membrane||peribacteroid fluid||COPII vesicle coat||melanosome membrane||chitosome membrane||plastid chromosome||proplastid stroma||etioplast stroma||cyanelle stroma||Toc complex||microbody part||yolk granule||snRNP U12||C zone||C zone||axon part</t>
  </si>
  <si>
    <t>axon part</t>
  </si>
  <si>
    <t>C zone</t>
  </si>
  <si>
    <t>GO:0005762</t>
  </si>
  <si>
    <t>Ribosomal protein L26 - Drosophila melanogaster - translation - structural constituent of ribosome - cytosolic large ribosomal subunit - mitotic spindle elongation - mitotic spindle organization</t>
  </si>
  <si>
    <t>Cyclophilin 1 - Drosophila melanogaster - peptidyl-prolyl cis-trans isomerase activity - cytosol - protein folding - cytoplasm - cyclin-dependent protein kinase regulator activity - nuclear cyclin-dependent protein kinase holoenzyme complex - positive transcription elongation factor complex b - autophagic cell death - salivary gland cell autophagic cell death</t>
  </si>
  <si>
    <t>peptidyl\-prolyl cis\-trans isomerase activity||cis\-trans isomerase activity||isomerase activity||catalytic activity</t>
  </si>
  <si>
    <t>isomerase activity</t>
  </si>
  <si>
    <t>GO:0003755</t>
  </si>
  <si>
    <t>Tetraspanin 42Ed - Drosophila melanogaster - integral to membrane</t>
  </si>
  <si>
    <t>tubulin, alpha 3A - Mus musculus - microtubule - cilium - microtubule basal body</t>
  </si>
  <si>
    <t>protein domain specific binding||protein binding||binding</t>
  </si>
  <si>
    <t>GO:0019904</t>
  </si>
  <si>
    <t>&lt;microtubule||half bridge of spindle pole body||centriole||F\-actin capping protein complex||Swr1 complex||nuclear telomere cap complex||telomere\-telomerase complex||cyanelle thylakoid membrane||CCR4\-NOT core complex||Mdm10/Mdm12/Mmm1 complex||signal peptidase complex||peribacteroid membrane||clathrin vesicle coat||acidocalcisome membrane||peribacteroid fluid||COPII vesicle coat||melanosome membrane||chitosome membrane||plastid chromosome||proplastid stroma||etioplast stroma||cyanelle stroma||Toc complex||microbody part||yolk granule||pectic matrix||Golgi membrane||axoneme part||cilium part||polarisome||aster||aster||conoid||conoid</t>
  </si>
  <si>
    <t>GO:0005874</t>
  </si>
  <si>
    <t>microtubule\-based process||cellular process</t>
  </si>
  <si>
    <t>GO:0007017</t>
  </si>
  <si>
    <t>mitochondrial NADH-ubiquinone oxidoreductase chain 4 - Drosophila melanogaster - NADH dehydrogenase (ubiquinone) activity - mitochondrion - mitochondrial respiratory chain complex I</t>
  </si>
  <si>
    <t>Caenorhabditis elegans - embryonic development ending in birth or egg hatching</t>
  </si>
  <si>
    <t>GTP binding||guanyl ribonucleotide binding||purine ribonucleotide binding||purine nucleotide binding||nucleotide binding||binding</t>
  </si>
  <si>
    <t>GO:0005525</t>
  </si>
  <si>
    <t>tubulin complex||cortical cytoskeleton||cytoskeleton||intracellular non\-membrane\-bounded organelle||intracellular organelle||outer membrane\-bounded periplasmic space||external encapsulating structure part||cell part</t>
  </si>
  <si>
    <t>GO:0045298</t>
  </si>
  <si>
    <t>bladder cancer associated protein - Danio rerio - molecular_function - biological_process</t>
  </si>
  <si>
    <t>14-3-3zeta - Drosophila melanogaster - Ras protein signal transduction - activation of tryptophan 5-monooxygenase activity - protein kinase C inhibitor activity - tryptophan hydroxylase activator activity - protein binding - cell proliferation - compound eye photoreceptor cell differentiation - olfactory learning - chromosome segregation - mitotic cell cycle, embryonic - nucleus - learning or memory - germarium-derived oocyte fate determination - oocyte microtubule cytoskeleton polarization - germline ring canal</t>
  </si>
  <si>
    <t>protein kinase C inhibitor activity||protein serine/threonine kinase inhibitor activity||protein kinase inhibitor activity||protein kinase regulator activity||kinase regulator activity||enzyme regulator activity</t>
  </si>
  <si>
    <t>kinase regulator activity</t>
  </si>
  <si>
    <t>GO:0008426</t>
  </si>
  <si>
    <t>Ras protein signal transduction||small GTPase mediated signal transduction||intracellular signaling cascade||signal transduction||regulation of cellular process||regulation of biological process||biological regulation</t>
  </si>
  <si>
    <t>GO:0007265</t>
  </si>
  <si>
    <t>Elongation factor 1alpha48D - Drosophila melanogaster - translational elongation - translation elongation factor activity - cytosol - eukaryotic translation elongation factor 1 complex - cytoplasm - translation - GTPase activity - lipid particle</t>
  </si>
  <si>
    <t>translation elongation factor activity||translation factor activity\, nucleic acid binding||translation regulator activity</t>
  </si>
  <si>
    <t>GO:0003746</t>
  </si>
  <si>
    <t>&lt;translational elongation||positive regulation of homocysteine metabolic process||positive regulation of transcription from RNA polymerase II promoter||negative regulation of glycogen biosynthetic process||negative regulation of juvenile hormone catabolic process||negative regulation of juvenile hormone catabolic process||negative regulation of integrin biosynthetic process||positive regulation of transcription from RNA polymerase I promoter||positive regulation of telomere maintenance via semi\-conservative replication||positive regulation of transcription from RNA polymerase I promoter||protein import into peroxisome matrix\, receptor recycling||protein import into peroxisome matrix\, receptor recycling||positive regulation of RNA import into nucleus||negative regulation of alpha\-beta T cell activation||positive regulation of RNA import into nucleus||negative regulation of retinal cone cell fate specification||regulation of regulatory T cell differentiation||BMP signaling pathway in spinal cord dorsal/ventral patterning||BMP signaling pathway in spinal cord dorsal/ventral patterning||BMP signaling pathway in spinal cord dorsal/ventral patterning||BMP signaling pathway in spinal cord dorsal/ventral patterning||BMP signaling pathway in spinal cord dorsal/ventral patterning||negative regulation of cardiac muscle fiber development||positive regulation of glycogen catabolic process||positive regulation of glycogen catabolic process||positive regulation of glycogen catabolic process||sequestering of calcium ion</t>
  </si>
  <si>
    <t>GO:0006414</t>
  </si>
  <si>
    <t>effete - Drosophila melanogaster - ubiquitin-protein ligase activity - spermatid development - chromosome organization - male meiosis - mitosis - protein binding - compound eye morphogenesis - oogenesis - regulation of R7 cell differentiation - compound eye photoreceptor cell differentiation - protein ubiquitination</t>
  </si>
  <si>
    <t>CG17292 - Drosophila melanogaster - triacylglycerol lipase activity</t>
  </si>
  <si>
    <t>phospholipase activity||lipase activity||hydrolase activity\, acting on ester bonds||hydrolase activity||catalytic activity</t>
  </si>
  <si>
    <t>GO:0004620</t>
  </si>
  <si>
    <t>cellular defense response||defense response||response to stress||response to stimulus</t>
  </si>
  <si>
    <t>GO:0006968</t>
  </si>
  <si>
    <t>ribosomal protein L5a - Danio rerio - embryonic development</t>
  </si>
  <si>
    <t>Heat shock protein cognate 4 - Drosophila melanogaster - embryonic development via the syncytial blastoderm - axon guidance - axonal fasciculation - nervous system development - protein folding - ATPase activity - unfolded protein binding - nucleus - neurotransmitter secretion - vesicle-mediated transport - mitochondrion - chaperone binding - RNA interference - lipid particle</t>
  </si>
  <si>
    <t>embryonic development via the syncytial blastoderm||embryonic development ending in birth or egg hatching||plantlet formation on parent plant||multicellular organism reproduction||multicellular organismal process</t>
  </si>
  <si>
    <t>GO:0001700</t>
  </si>
  <si>
    <t>malectin - Rattus norvegicus - endoplasmic reticulum - carbohydrate binding</t>
  </si>
  <si>
    <t>carbohydrate binding||binding</t>
  </si>
  <si>
    <t>GO:0030246</t>
  </si>
  <si>
    <t>RAB21, member RAS oncogene family - Mus musculus - protein binding</t>
  </si>
  <si>
    <t>intracellular organelle||outer membrane\-bounded periplasmic space||external encapsulating structure part||cell part</t>
  </si>
  <si>
    <t>GO:0043229</t>
  </si>
  <si>
    <t>+positive regulation of phagocytosis||negative regulation of cytokine secretion||negative regulation of cytokine secretion||negative regulation of histamine uptake||positive regulation of bipolar cell growth||extracellular matrix\-granule cell signaling i</t>
  </si>
  <si>
    <t>GO:0050766</t>
  </si>
  <si>
    <t>lola like - Drosophila melanogaster - regulation of transcription from RNA polymerase II promoter - specific RNA polymerase II transcription factor activity - nucleus - chromatin silencing - protein binding</t>
  </si>
  <si>
    <t>specific RNA polymerase II transcription factor activity||RNA polymerase II transcription factor activity||transcription regulator activity</t>
  </si>
  <si>
    <t>RNA polymerase II transcription factor activity</t>
  </si>
  <si>
    <t>GO:0003704</t>
  </si>
  <si>
    <t>&amp;regulation of transcription from RNA polymerase II promoter||endonucleolytic cleavage between SSU\-rRNA and LSU\-rRNA of tricistronic rRNA transcript (SSU\-rRNA\, LSU\-rRNA\, 5S)||regulation of transcription from RNA polymerase I promoter||regulation of transcription from RNA polymerase I promoter||transcription initiation from RNA polymerase III promoter||exonucleolytic nuclear\-transcribed mRNA catabolic process involved in endonucleolytic cleavage\-dependent decay||regulation of DNA replication initiation||T\-helper 2 cell lineage commitment||establishment of imaginal disc\-derived wing hair orientation||lateral sprouting involved in mammary gland duct morphogenesis||imaginal disc\-derived wing hair outgrowth||embryonic anterior midgut (ectodermal) morphogenesis||regulation of ectodermal cell fate specification||second mitotic wave during compound eye morphogenesis||regulation of salivary gland boundary specification||regulation of salivary gland boundary specification||regulation of mammary gland cord elongation by mammary fat precursor cell\-epithelial cell signaling||medulla oblongata morphogenesis||midbrain\-hindbrain boundary morphogenesis||inferior olivary nucleus structural organization||neuroblast division in the subpallium||neuroblast division in the subpallium||somatic diversification of T cell receptor genes||midbrain\-hindbrain boundary maturation during brain development||medulla oblongata development||interneuron sorting involved in substrate\-independent cerebral cortex tangential migration||cell\-substrate adhesion involved in tangential migration using cell\-cell interactions||cell\-substrate adhesion involved in tangential migration using cell\-cell interactions||regulation of vulval development||fibroblast growth factor receptor signaling pathway involved in mammary gland specification||regulation of transcription from RNA polymerase II promoter involved in lung bud formation||rostrocaudal neural tube patterning||trophectodermal cellular morphogenesis||imaginal disc\-derived wing expansion||cerebellar granular layer maturation||gonadotrophin\-releasing hormone neuronal migration to the hypothalamus||auditory receptor cell fate commitment||erythrocyte maturation||atrial cardiac myofibril development||anterior lateral line nerve glial cell morphogenesis involved in differentiation||mesenchymal to epithelial transition||auditory receptor cell development||auditory receptor cell development||epithelial cell differentiation involved in mammary gland bud morphogenesis||epithelial cell differentiation involved in mammary gland bud morphogenesis||activation of prostate induction by androgen receptor signaling pathway||activation of prostate induction by androgen receptor signaling pathway||epithelial cell proliferation involved in mammary gland bud elongation||neural rod cavitation||mesodermal cell differentiation||mesenchymal\-epithelial cell signaling involved in prostate induction||imaginal disc\-derived wing morphogenesis||R3/R4 development||embryonic gut morphogenesis||epithelial cell proliferation involved in prostatic bud elongation||neural fold hinge point formation||corticospinal neuron axon guidance through the basilar pons||corticospinal neuron axon guidance through the spinal cord||corticospinal neuron axon guidance through the basilar pons||endochondral ossification||regulation of paraxial mesodermal cell fate specification||mesodermal cell migration||positive regulation of symbiont penetration peg initiation||viral genome packaging||cell\-cell adhesion involved in sealing an epithelial fold||positive regulation of symbiont penetration peg initiation||cell\-cell adhesion involved in neural tube closure||dorsal closure\, leading edge cell fate commitment||dorsal closure\, leading edge cell differentiation||dorsal closure\, elongation of leading edge cells||regulation of striated muscle cell differentiation||dorsal closure\, spreading of leading edge cells||regulation of atrichoblast fate specification||regulation of atrichoblast fate specification||cell movement involved in somal translocation||posterior lateral line neuromast deposition||glial cell migration in a lateral line nerve||peripheral nervous system neuron development||aorta smooth muscle tissue morphogenesis||regulation of prostatic bud formation||regulation of prostatic bud formation||mammary duct terminal end bud growth||initiation of neural tube closure||neural fold elevation formation||leading edge cell fate commitment||atrichoblast fate specification||muscle thin filament assembly||myoblast cell fate commitment||paraxial mesoderm morphogenesis||neural crest cell development||neural crest cell migration||mesenchymal cell development||hair follicle morphogenesis||root hair initiation||guard cell development||vegetative meristem growth||guard cell development||R8 cell development||ommatidial rotation||inner ear development||otolith formation||root meristem growth||lung induction||trachea formation||cornification||bract formation||organ maturation||seed maturation||pons formation||enucleation||diapedesis</t>
  </si>
  <si>
    <t>GO:0006357</t>
  </si>
  <si>
    <t>CG18193 - Drosophila melanogaster - mitochondrial electron transport, cytochrome c to oxygen - cytochrome-c oxidase activity - mitochondrial respiratory chain complex IV</t>
  </si>
  <si>
    <t>cytochrome\-c oxidase activity||hydrogen ion transmembrane transporter activity||monovalent inorganic cation transmembrane transporter activity||inorganic cation transmembrane transporter activity||cation transmembrane transporter activity||ion transmembrane transporter activity||substrate\-specific transmembrane transporter activity||substrate\-specific transporter activity||transporter activity</t>
  </si>
  <si>
    <t>GO:0004129</t>
  </si>
  <si>
    <t>&lt;mitochondrial respiratory chain complex IV||mitochondrial respiratory chain complex I||Golgi cisterna membrane||Golgi cisterna membrane||clathrin sculpted monoamine transport vesicle lumen||chloroplast membrane||mitochondrial crista||ER proteasome regulatory particle\, base subcomplex||ER proteasome core complex\, beta\-subunit complex||COPI vesicle coat||mitochondrial glutamate synthase complex (NADH)||mitochondrial glutamate synthase complex (NADH)||UDP\-N\-acetylglucosamine transferase complex||Sec complex\-associated translocon complex||intrinsic to endoplasmic reticulum membrane||cytoplasmic part||UDP\-N\-acetylglucosamine transferase complex||Sec complex\-associated translocon complex||intrinsic to endoplasmic reticulum membrane||nuclear lamina||glycine\-gated chloride channel complex||Cdc48p\-Npl4p\-Ufd1p AAA ATPase complex||ionotropic glutamate receptor complex||clathrin coat of synaptic vesicle||intrinsic to plastid outer membrane||integral to plastid outer membrane||intrinsic to peroxisomal membrane||plasmodesmatal plasma membrane||oncostatin\-M receptor complex||integral to thylakoid membrane||succinate dehydrogenase complex||cyanelle thylakoid membrane||mitochondrial membrane part||Mdm10/Mdm12/Mmm1 complex||flagellar pocket membrane||signal peptidase complex||spindle pole centrosome||perichromatin fibrils||proplastid nucleoid||plastid chromosome||plastid chromosome||nucleoplasm part||nuclear membrane||RITS complex||Golgi cisterna||vesicle coat||CBF3 complex||stereocilium||snRNP U6||yolk plasma||C zone||C zone||aster||aster||mononeme||cell part</t>
  </si>
  <si>
    <t>GO:0005751</t>
  </si>
  <si>
    <t>&lt;mitochondrial electron transport\, cytochrome c to oxygen||mitochondrial electron transport\, cytochrome c to oxygen||regulation of cellular amine catabolic process||regulation of activation of Janus kinase activity||nuclear\-transcribed mRNA poly(A) tail shortening||amylopectin biosynthetic process||amylopectin biosynthetic process||regulation of toll\-like receptor signaling pathway||regulation of toll\-like receptor signaling pathway||establishment of natural killer cell polarity||pro\-T cell lineage commitment||hemocyte migration||skeletal muscle fiber development||imaginal disc\-derived genitalia morphogenesis||neuroblast fate determination||motogenic signaling initiating cell movement in the cerebral cortex||motogenic signaling initiating cell movement in the cerebral cortex||motogenic signaling initiating cell movement in the cerebral cortex||nucleus accumbens development||adenohypophysis development||dorsal vessel heart proper cell fate commitment||dorsal vessel heart proper cell fate commitment||Notch signaling pathway involved in forebrain neuron fate commitment||neuron projection morphogenesis||neuron projection morphogenesis||imaginal disc morphogenesis||regulation of compound eye cone cell fate specification||epidermal cell differentiation||positive regulation of biomineral formation||optic cup morphogenesis involved in camera\-type eye development||dorsal vessel aortic cell fate commitment||central B cell deletion||spinal cord anterior/posterior patterning||post\-embryonic ectodermal gut morphogenesis||positive regulation of appressorium maturation on or near host||regulation of meristem structural organization||inhibition of phospholipase C activity involved in G\-protein coupled receptor signaling pathway||inhibition of phospholipase C activity involved in G\-protein coupled receptor signaling pathway||positive regulation of chemokine\-mediated signaling pathway||synaptic vesicle uncoating||regulation of RNA elongation||positive regulation of gibberellin biosynthetic process||negative regulation of gibberellin biosynthetic process||positive regulation of triglyceride biosynthetic process||negative regulation of gibberellin biosynthetic process||regulation of DNA endoreduplication||centromeric core chromatin formation||regulation of embryo sac central cell differentiation||neuron migration||regulation of transcription from RNA polymerase II promoter involved in ventral spinal cord interneuron specification||ocellus photoreceptor cell development||regulation of transcription from RNA polymerase II promoter involved in spinal cord motor neuron fate specification||regulation of axonogenesis||regulation of axonogenesis||positive regulation of transcription on exit from mitosis||positive regulation of transcription on exit from mitosis||regulation of centromeric sister chromatid cohesion||homologous chromosome orientation during meiosis||regulation of adenosine receptor signaling pathway||B cell selection||nuclear fragmentation during apoptosis||vasoconstriction of artery involved in baroreceptor response to lowering of systemic arterial blood pressure||vasoconstriction of artery involved in baroreceptor response to lowering of systemic arterial blood pressure||vasoconstriction of artery involved in baroreceptor response to lowering of systemic arterial blood pressure||catabolism by symbiont of host cell wall pectin||regulation of abscisic acid mediated signaling||inferior olivary nucleus formation||regulation of salivary gland boundary specification</t>
  </si>
  <si>
    <t>GO:0006123</t>
  </si>
  <si>
    <t>CG9413 - Drosophila melanogaster - amino acid transmembrane transporter activity - amino acid transport</t>
  </si>
  <si>
    <t>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</si>
  <si>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GO:0015171</t>
  </si>
  <si>
    <t>Catalase - Drosophila melanogaster - catalase activity - response to hydrogen peroxide - calcium-dependent cell-cell adhesion - response to oxidative stress - heme binding - peroxisome - plasma membrane - determination of adult life span - antioxidant activity - aging</t>
  </si>
  <si>
    <t>catalase activity||peroxidase activity||oxidoreductase activity\, acting on peroxide as acceptor||oxidoreductase activity||catalytic activity</t>
  </si>
  <si>
    <t>GO:0004096</t>
  </si>
  <si>
    <t>peroxisome||microbody||nuclear cyclin\-dependent protein kinase holoenzyme complex||cyclin\-dependent protein kinase holoenzyme complex||outer membrane\-bounded periplasmic space||external encapsulating structure part||cell part</t>
  </si>
  <si>
    <t>GO:0005777</t>
  </si>
  <si>
    <t>response to hydrogen peroxide||response to reactive oxygen species||response to oxidative stress||response to chemical stimulus||response to stimulus</t>
  </si>
  <si>
    <t>GO:0042542</t>
  </si>
  <si>
    <t>Ribosomal protein L37A - Drosophila melanogaster - translation - structural constituent of ribosome - cytosolic large ribosomal subunit - mitotic spindle elongation - mitotic spindle organization</t>
  </si>
  <si>
    <t>kininogen 1 - Rattus norvegicus - positive regulation of endothelial cell proliferation - protease binding - cysteine-type endopeptidase inhibitor activity - receptor binding - extracellular space - microsome - negative regulation of cell adhesion - elevation of cytosolic calcium ion concentration - negative regulation of blood coagulation - negative regulation of T cell proliferation - perikaryon - negative regulation of MAP kinase activity - positive regulation of MAPKKK cascade - negative regulation of proteolysis - positive regulation of fibroblast proliferation - negative regulation of lymphocyte proliferation - regulation of endopeptidase activity</t>
  </si>
  <si>
    <t>protease binding||enzyme binding||protein binding||binding</t>
  </si>
  <si>
    <t>GO:0002020</t>
  </si>
  <si>
    <t>extracellular space||apoplast||extracellular region</t>
  </si>
  <si>
    <t>GO:0005615</t>
  </si>
  <si>
    <t>+positive regulation of endothelial cell proliferation||negative regulation of axon extension involved in regeneration||negative regulation of blood vessel endothelial cell migration||positive regulation of thymocyte apoptosis||positive regulation of mito</t>
  </si>
  <si>
    <t>GO:0001938</t>
  </si>
  <si>
    <t>oo18 RNA-binding protein - Drosophila melanogaster - oocyte anterior/posterior axis specification - oocyte dorsal/ventral axis specification - pole plasm oskar mRNA localization - pole plasm assembly - intracellular mRNA localization - positive regulation of translation - mRNA polyadenylation - uridine-rich cytoplasmic polyadenylylation element binding - cytoplasm - mRNA binding - oogenesis - regulation of oskar mRNA translation - germ-line cyst formation - germarium-derived oocyte fate determination - embryonic axis specification - oocyte axis specification - germ cell development - protein binding - positive regulation of oskar mRNA translation</t>
  </si>
  <si>
    <t>uridine\-rich cytoplasmic polyadenylylation element binding||poly\-pyrimidine tract binding||single\-stranded RNA binding||RNA binding||nucleic acid binding||binding</t>
  </si>
  <si>
    <t>GO:0017131</t>
  </si>
  <si>
    <t>oocyte anterior/posterior axis specification||positive regulation of cumulus cell differentiation||positive regulation of cumulus cell differentiation||positive regulation of cumulus cell differentiation||positive regulation of aggregate size involved in sorocarp development||regulation of aggregate size involved in sorocarp development||regulation of aggregation involved in sorocarp development||bipolar cellular bud site selection||cell budding||asexual reproduction||reproduction</t>
  </si>
  <si>
    <t>GO:0007314</t>
  </si>
  <si>
    <t>aquaporin 4 - Mus musculus - integral to plasma membrane - water transport - water channel activity - water homeostasis</t>
  </si>
  <si>
    <t>integral to plasma membrane||intrinsic to plasma membrane||thylakoid membrane||photosynthetic membrane||membrane||cell part</t>
  </si>
  <si>
    <t>GO:0005887</t>
  </si>
  <si>
    <t>water transport||fluid transport||transport||cellular localization||localization</t>
  </si>
  <si>
    <t>GO:0006833</t>
  </si>
  <si>
    <t>c12.1 - Drosophila melanogaster - molecular_function - mitotic spindle organization</t>
  </si>
  <si>
    <t>low density lipoprotein receptor-related protein 1 - Mus musculus - apoptotic cell clearance - protein binding - membrane fraction - negative regulation of Wnt receptor signaling pathway</t>
  </si>
  <si>
    <t>apoptotic cell clearance||phagocytosis||endocytosis||membrane invagination||membrane organization||cellular component organization</t>
  </si>
  <si>
    <t>GO:0043277</t>
  </si>
  <si>
    <t>Ribosomal protein S25 - Drosophila melanogaster - translation - structural constituent of ribosome - cytosolic small ribosomal subunit - ribosome</t>
  </si>
  <si>
    <t>Glial Lazarillo - Drosophila melanogaster - binding - extracellular space - response to stress - determination of adult life span - response to hypoxia - response to starvation</t>
  </si>
  <si>
    <t>GO:0005488</t>
  </si>
  <si>
    <t>Protein C01G12.1, confirmed by transcript evidence - Caenorhabditis elegans - protein binding</t>
  </si>
  <si>
    <t>general RNA polymerase II transcription factor activity||RNA polymerase II transcription factor activity||transcription regulator activity</t>
  </si>
  <si>
    <t>GO:0016251</t>
  </si>
  <si>
    <t>TRAPP complex subunit Bet3 (predicted) - Schizosaccharomyces pombe - molecular_function - ER to Golgi vesicle-mediated transport - intracellular protein transport - TRAPP complex</t>
  </si>
  <si>
    <t>&lt;TRAPP complex||ESCRT II complex||ESCRT I complex||gamma\-tubulin small complex\, spindle pole body||gamma\-tubulin small complex\, spindle pole body||cytoplasmic replisome||PSII associated light\-harvesting complex II\, peripheral complex||PSII associated light\-harvesting complex II\, peripheral complex||PSII associated light\-harvesting complex II\, peripheral complex||mitochondrial proton\-transporting ATP synthase\, central stalk||mitochondrial proton\-transporting ATP synthase\, stator stalk||mitochondrial proton\-transporting ATP synthase\, central stalk||mitochondrial ribosome||mitochondrial ribosome||mitochondrial ribosome||macropinocytic cup cytoskeleton||amyloplast starch grain||mitochondrial respiratory chain complex III||mitochondrial respiratory chain complex IV||mitochondrial respiratory chain complex I||mitochondrial crista||mitochondrial respiratory chain complex I||mitochondrial crista||ER proteasome regulatory particle\, base subcomplex||ER proteasome core complex\, beta\-subunit complex||COPI vesicle coat||ER proteasome regulatory particle\, lid subcomplex||proteasome regulatory particle\, base subcomplex||proteasome regulatory particle\, base subcomplex||nucleolar part||Sec complex\-associated translocon complex||intrinsic to endoplasmic reticulum membrane||actin capping protein of dynactin complex||condensed nuclear chromosome kinetochore||intermediate layer of spindle pole body||chiasma||platelet dense tubular network membrane||intrinsic to plastid outer membrane||integral to plastid outer membrane||plastid biotin carboxylase complex||chloroplast ATP synthase complex||snRNP U2||nuclear proteasome core complex||Swr1 complex||gamma DNA polymerase complex||mitochondrial membrane part||intrinsic to Golgi membrane||recycling endosome membrane||tertiary granule membrane||chromaffin granule lumen||peribacteroid membrane||clathrin vesicle coat||acidocalcisome membrane||peribacteroid fluid||COPII vesicle coat||melanosome membrane||chitosome membrane||plastid chromosome||proplastid stroma||etioplast stroma||cyanelle stroma||Toc complex||microbody part||yolk granule||pectic matrix||Golgi membrane||axoneme part||cilium part||polarisome||aster||aster||conoid||conoid</t>
  </si>
  <si>
    <t>GO:0030008</t>
  </si>
  <si>
    <t>mitochondrial Cytochrome c oxidase subunit II - Drosophila melanogaster - cytochrome-c oxidase activity - mitochondrion - mitochondrial respiratory chain complex IV - mitochondrial electron transport, cytochrome c to oxygen - mitochondrial inner membrane</t>
  </si>
  <si>
    <t>mitochondrially encoded cytochrome b - Rattus norvegicus - response to hypoxia - membrane fraction - mitochondrion - mitochondrial inner membrane - response to nutrient - electron carrier activity - response to heat - response to toxin - response to hormone stimulus - response to organic nitrogen - response to organic cyclic substance - proton transport - organ regeneration - protein complex binding - response to cobalamin - response to glucagon stimulus - response to drug - hyperosmotic salinity response - protein complex - response to ethanol - response to cadmium ion - response to copper ion - response to mercury ion - response to calcium ion - response to hyperoxia</t>
  </si>
  <si>
    <t>Defensin - Drosophila melanogaster - antibacterial humoral response - defense response to Gram-positive bacterium - defense response to bacterium - positive regulation of biosynthetic process of antibacterial peptides active against Gram-positive bacteria - extracellular space</t>
  </si>
  <si>
    <t>antibacterial humoral response||defense response to bacterium||response to bacterium||response to other organism||response to biotic stimulus||response to stimulus</t>
  </si>
  <si>
    <t>GO:0019731</t>
  </si>
  <si>
    <t>Prosalpha6T - Drosophila melanogaster - endopeptidase activity - proteasome core complex</t>
  </si>
  <si>
    <t>triosephosphate isomerase 1 - Mus musculus - isomerase activity - glyceraldehyde-3-phosphate metabolic process - embryonic development - glucose metabolic process - multicellular organismal development - triose-phosphate isomerase activity</t>
  </si>
  <si>
    <t>triose\-phosphate isomerase activity||intramolecular oxidoreductase activity\, interconverting aldoses and ketoses||intramolecular oxidoreductase activity||isomerase activity||catalytic activity</t>
  </si>
  <si>
    <t>GO:0004807</t>
  </si>
  <si>
    <t>carbohydrate metabolic process||primary metabolic process||metabolic process</t>
  </si>
  <si>
    <t>GO:0005975</t>
  </si>
  <si>
    <t>aldo-keto reductase family 1, member B1 (aldose reductase) - Danio rerio - cellular_component</t>
  </si>
  <si>
    <t>aldehyde reductase activity||aldo\-keto reductase activity||oxidoreductase activity\, acting on the CH\-OH group of donors\, NAD or NADP as acceptor||oxidoreductase activity\, acting on CH\-OH group of donors||oxidoreductase activity||catalytic activity</t>
  </si>
  <si>
    <t>GO:0004032</t>
  </si>
  <si>
    <t>sorbitol biosynthetic process||hexitol biosynthetic process||alditol biosynthetic process||cellular carbohydrate biosynthetic process||cellular carbohydrate metabolic process||carbohydrate metabolic process||primary metabolic process||metabolic process</t>
  </si>
  <si>
    <t>GO:0006061</t>
  </si>
  <si>
    <t>Ribosomal protein L35A - Drosophila melanogaster - translation - structural constituent of ribosome - cytosolic large ribosomal subunit</t>
  </si>
  <si>
    <t>fatty acid binding protein 7, brain, a - Danio rerio - fatty acid binding</t>
  </si>
  <si>
    <t>fatty acid binding||monocarboxylic acid binding||carboxylic acid binding||binding</t>
  </si>
  <si>
    <t>carboxylic acid binding</t>
  </si>
  <si>
    <t>GO:0005504</t>
  </si>
  <si>
    <t>startle response||neuromuscular process||neurological system process||system process||multicellular organismal process</t>
  </si>
  <si>
    <t>GO:0001964</t>
  </si>
  <si>
    <t>Actin 5C - Drosophila melanogaster - structural constituent of cytoskeleton - actin filament - cytoskeleton organization - sperm individualization - cytokinesis - Ino80 complex - phagocytosis, engulfment - maintenance of protein location in cell - lipid particle</t>
  </si>
  <si>
    <t>structural constituent of cytoskeleton||structural molecule activity</t>
  </si>
  <si>
    <t>structural constituent of cytoskeleton</t>
  </si>
  <si>
    <t>GO:0005200</t>
  </si>
  <si>
    <t>&lt;actin filament||contractile vacuole pore||core TFIIH complex portion of holo TFIIH complex||rDNA protrusion||outer kinetochore of condensed nuclear chromosome||outer kinetochore of condensed nuclear chromosome||glyoxysomal membrane||glyoxysomal membrane||mitochondrial glutamate synthase complex (NADH)||mitochondrial glutamate synthase complex (NADH)||UDP\-N\-acetylglucosamine transferase complex||Sec complex\-associated translocon complex||intrinsic to endoplasmic reticulum membrane||cytoplasmic part||UDP\-N\-acetylglucosamine transferase complex||Sec complex\-associated translocon complex||intrinsic to endoplasmic reticulum membrane||nuclear lamina||glycine\-gated chloride channel complex||Cdc48p\-Npl4p\-Ufd1p AAA ATPase complex||ionotropic glutamate receptor complex||clathrin coat of synaptic vesicle||intrinsic to plastid outer membrane||integral to plastid outer membrane||intrinsic to peroxisomal membrane||plasmodesmatal plasma membrane||oncostatin\-M receptor complex||integral to thylakoid membrane||succinate dehydrogenase complex||cyanelle thylakoid membrane||mitochondrial membrane part||Mdm10/Mdm12/Mmm1 complex||flagellar pocket membrane||signal peptidase complex||spindle pole centrosome||perichromatin fibrils||proplastid nucleoid||plastid chromosome||plastid chromosome||nucleoplasm part||nuclear membrane||RITS complex||Golgi cisterna||vesicle coat||CBF3 complex||stereocilium||snRNP U6||yolk plasma||C zone||C zone||aster||aster||mononeme||cell part</t>
  </si>
  <si>
    <t>GO:0005884</t>
  </si>
  <si>
    <t>cytoskeleton organization||organelle organization||cellular component organization</t>
  </si>
  <si>
    <t>GO:0007010</t>
  </si>
  <si>
    <t>COMM domain containing 7 - Mus musculus - cellular_component - molecular_function - biological_process</t>
  </si>
  <si>
    <t>CG34123 - Drosophila melanogaster - protein kinase activity - thermotaxis</t>
  </si>
  <si>
    <t>protein kinase activity||phosphotransferase activity\, alcohol group as acceptor||transferase activity\, transferring phosphorus\-containing groups||transferase activity||catalytic activity</t>
  </si>
  <si>
    <t>GO:0004672</t>
  </si>
  <si>
    <t>thermotaxis||response to temperature stimulus||response to abiotic stimulus||response to stimulus</t>
  </si>
  <si>
    <t>GO:0043052</t>
  </si>
  <si>
    <t>NHP2 - Drosophila melanogaster - nucleolus - rRNA pseudouridylation guide activity - snoRNA binding - small nucleolar ribonucleoprotein complex - rRNA processing - rRNA pseudouridine synthesis</t>
  </si>
  <si>
    <t>rRNA pseudouridylation guide activity||RNA pseudouridylation guide activity||RNA modification guide activity||base pairing with RNA||base pairing||nucleic acid binding||binding</t>
  </si>
  <si>
    <t>GO:0030559</t>
  </si>
  <si>
    <t>apolipoprotein D - Mus musculus - intracellular</t>
  </si>
  <si>
    <t>intracellular||cell part</t>
  </si>
  <si>
    <t>intracellular</t>
  </si>
  <si>
    <t>GO:0005622</t>
  </si>
  <si>
    <t>&lt;brain development||pons maturation||system development||eclosion rhythm||pollen adhesion||diapedesis||seed growth||cornification||innervation</t>
  </si>
  <si>
    <t>GO:0007420</t>
  </si>
  <si>
    <t>twinstar - Drosophila melanogaster - actin binding - actin filament depolymerization - border follicle cell migration - female gonad development - actin filament organization - cytokinesis - cytokinesis, contractile ring formation - actin filament polymerization - axonogenesis - mushroom body development - establishment of planar polarity - establishment of imaginal disc-derived wing hair orientation - establishment of ommatidial polarity - leg segmentation - regulation of lamellipodium assembly - compound eye development</t>
  </si>
  <si>
    <t>&lt;plasma membrane enriched fraction||mitochondrial respiratory chain complex IV||mitochondrial respiratory chain complex I||integrin complex||endoplasmic reticulum membrane||high molecular weight kininogen receptor complex||proteasome regulatory particle\, base subcomplex||proteasome regulatory particle\, base subcomplex||nucleolar part||Sec complex\-associated translocon complex||intrinsic to endoplasmic reticulum membrane||actin capping protein of dynactin complex||condensed nuclear chromosome kinetochore||intermediate layer of spindle pole body||chiasma||platelet dense tubular network membrane||intrinsic to plastid outer membrane||integral to plastid outer membrane||plastid biotin carboxylase complex||chloroplast ATP synthase complex||snRNP U2||nuclear proteasome core complex||Swr1 complex||gamma DNA polymerase complex||mitochondrial membrane part||intrinsic to Golgi membrane||recycling endosome membrane||tertiary granule membrane||chromaffin granule lumen||peribacteroid membrane||clathrin vesicle coat||acidocalcisome membrane||peribacteroid fluid||COPII vesicle coat||melanosome membrane||chitosome membrane||plastid chromosome||proplastid stroma||etioplast stroma||cyanelle stroma||Toc complex||microbody part||yolk granule||snRNP U12||C zone||C zone||axon part</t>
  </si>
  <si>
    <t>GO:0001950</t>
  </si>
  <si>
    <t>actin filament organization||actin cytoskeleton organization||cytoskeleton organization||organelle organization||cellular component organization</t>
  </si>
  <si>
    <t>GO:0007015</t>
  </si>
  <si>
    <t>lethal (2) essential for life - Drosophila melanogaster - embryonic development - response to heat</t>
  </si>
  <si>
    <t>structural constituent of eye lens||structural molecule activity</t>
  </si>
  <si>
    <t>structural constituent of eye lens</t>
  </si>
  <si>
    <t>GO:0005212</t>
  </si>
  <si>
    <t>insoluble fraction||cell fraction||cell part</t>
  </si>
  <si>
    <t>GO:0005626</t>
  </si>
  <si>
    <t>muscle organ development||nervous system development||gametophyte development||multicellular organismal development||multicellular organismal process</t>
  </si>
  <si>
    <t>GO:0007517</t>
  </si>
  <si>
    <t>Ribosomal protein S23 - Drosophila melanogaster - translation - structural constituent of ribosome - cytosolic small ribosomal subunit</t>
  </si>
  <si>
    <t>ribosomal protein S8 - Rattus norvegicus - molecular_function - protein binding - cytosol - translational elongation - biological_process - cytosolic small ribosomal subunit</t>
  </si>
  <si>
    <t>Putative protein of unknown function identified by fungal homology comparisons and RT-PCR - Saccharomyces cerevisiae - molecular_function - cellular_component - biological_process</t>
  </si>
  <si>
    <t>mitochondrial NADH-ubiquinone oxidoreductase chain 2 - Drosophila melanogaster - NADH dehydrogenase (ubiquinone) activity - mitochondrion - mitochondrial respiratory chain complex I - integral to membrane - mitochondrial inner membrane</t>
  </si>
  <si>
    <t>oxygen and reactive oxygen species metabolic process||cellular metabolic process||metabolic process</t>
  </si>
  <si>
    <t>GO:0006800</t>
  </si>
  <si>
    <t>zgc:103600 - Danio rerio - cellular_component - biological_process</t>
  </si>
  <si>
    <t>protein complex||macromolecular complex</t>
  </si>
  <si>
    <t>macromolecular complex</t>
  </si>
  <si>
    <t>protein complex</t>
  </si>
  <si>
    <t>GO:0043234</t>
  </si>
  <si>
    <t>ubiquitin-conjugating enzyme E2, J2 - Rattus norvegicus - endoplasmic reticulum</t>
  </si>
  <si>
    <t>ubiquitin\-protein ligase activity||small conjugating protein ligase activity||acid\-amino acid ligase activity||ligase activity\, forming carbon\-nitrogen bonds||ligase activity||catalytic activity</t>
  </si>
  <si>
    <t>ligase activity</t>
  </si>
  <si>
    <t>GO:0004842</t>
  </si>
  <si>
    <t>&lt;endoplasmic reticulum membrane||ER proteasome regulatory particle\, base subcomplex||ER proteasome core complex\, beta\-subunit complex||proteasome regulatory particle\, base subcomplex||proteasome regulatory particle\, base subcomplex||nucleolar part||Sec complex\-associated translocon complex||intrinsic to endoplasmic reticulum membrane||actin capping protein of dynactin complex||condensed nuclear chromosome kinetochore||intermediate layer of spindle pole body||chiasma||platelet dense tubular network membrane||intrinsic to plastid outer membrane||integral to plastid outer membrane||plastid biotin carboxylase complex||chloroplast ATP synthase complex||snRNP U2||nuclear proteasome core complex||Swr1 complex||gamma DNA polymerase complex||mitochondrial membrane part||intrinsic to Golgi membrane||recycling endosome membrane||tertiary granule membrane||chromaffin granule lumen||peribacteroid membrane||clathrin vesicle coat||acidocalcisome membrane||peribacteroid fluid||COPII vesicle coat||melanosome membrane||chitosome membrane||plastid chromosome||proplastid stroma||etioplast stroma||cyanelle stroma||Toc complex||microbody part||yolk granule||snRNP U12||C zone||C zone||axon part||aster||aster||conoid||conoid</t>
  </si>
  <si>
    <t>GO:0005789</t>
  </si>
  <si>
    <t>protein polyubiquitination||protein ubiquitination||protein modification by small protein conjugation||protein modification by small protein conjugation or removal||protein modification process||cellular protein metabolic process||cellular biopolymer metabolic process||cellular macromolecule metabolic process||macromolecule metabolic process||metabolic process</t>
  </si>
  <si>
    <t>GO:0000209</t>
  </si>
  <si>
    <t>mitochondrial ATPase subunit 6 - Drosophila melanogaster - hydrogen-exporting ATPase activity, phosphorylative mechanism - mitochondrion - mitochondrial proton-transporting ATP synthase complex, coupling factor F(o) - determination of adult life span - muscle maintenance - neurological system process - regulation of ATPase activity</t>
  </si>
  <si>
    <t>&lt;determination of adult life span||Sertoli cell fate commitment||Sertoli cell differentiation||Leydig cell differentiation||olfactory placode formation||neural plate thickening||floor plate formation||neural fold folding||neural fold bending||neural fold folding||neural fold bending||dorsal convergence||gonad morphogenesis||leg segmentation||fin morphogenesis||cytokine secretion||pollen hydration||pollen adhesion||diapedesis||seed growth||cornification||innervation</t>
  </si>
  <si>
    <t>GO:0008340</t>
  </si>
  <si>
    <t>ATP-dependent RNA helicase, eIF4A related - Schizosaccharomyces pombe - nucleolus - ATP binding - ATP-dependent RNA helicase activity - rRNA processing - nucleus - cytosol</t>
  </si>
  <si>
    <t>Best match to CDD database</t>
  </si>
  <si>
    <t>All CDD domains</t>
  </si>
  <si>
    <t>FAP 0.003| PRP8 0.005| PHA01732 0.006| Drf_FH1 0.015| GRP 0.029| PHA03247 0.032| Amelogenin 0.043| minC 0.048| PLN02983 0.070| PLN03138 0.100|</t>
  </si>
  <si>
    <t>Best match to KOG database</t>
  </si>
  <si>
    <t>General class</t>
  </si>
  <si>
    <t>Signal transduction mechanisms, Cytoskeleton</t>
  </si>
  <si>
    <t>Best match to SMART database</t>
  </si>
  <si>
    <t>Best match to PFAM database</t>
  </si>
  <si>
    <t>Best match to PRK database</t>
  </si>
  <si>
    <t>Best match to MIT-PLA database</t>
  </si>
  <si>
    <t>Best match to RRNA database</t>
  </si>
  <si>
    <t>REV</t>
  </si>
  <si>
    <t>Best match to PREV-RHOD-PEP database</t>
  </si>
  <si>
    <t>Contig17873_2</t>
  </si>
  <si>
    <t>Contig4545_2</t>
  </si>
  <si>
    <t>Contig17157_5</t>
  </si>
  <si>
    <t>Contig17738_16</t>
  </si>
  <si>
    <t>Contig17464_16</t>
  </si>
  <si>
    <t>Contig17739_5</t>
  </si>
  <si>
    <t>Contig10627_1</t>
  </si>
  <si>
    <t>Contig17921_30</t>
  </si>
  <si>
    <t>Contig17896_35</t>
  </si>
  <si>
    <t>Contig17238_5</t>
  </si>
  <si>
    <t>Contig17876_8</t>
  </si>
  <si>
    <t>Contig17372_7</t>
  </si>
  <si>
    <t>Contig17343_19</t>
  </si>
  <si>
    <t>Contig17073_25</t>
  </si>
  <si>
    <t>Contig5279_3</t>
  </si>
  <si>
    <t>Contig17819_86</t>
  </si>
  <si>
    <t>Contig17265_15</t>
  </si>
  <si>
    <t>Contig17812_13</t>
  </si>
  <si>
    <t>Contig17590_29</t>
  </si>
  <si>
    <t>Contig17848_93</t>
  </si>
  <si>
    <t>Contig17970_682</t>
  </si>
  <si>
    <t>Contig17089_5</t>
  </si>
  <si>
    <t>Contig16870_3</t>
  </si>
  <si>
    <t>Contig17952_84</t>
  </si>
  <si>
    <t>Contig17523_36</t>
  </si>
  <si>
    <t>Contig17866_7</t>
  </si>
  <si>
    <t>Contig17971_343</t>
  </si>
  <si>
    <t>Contig17955_3</t>
  </si>
  <si>
    <t>Contig17358_14</t>
  </si>
  <si>
    <t>Contig17978_37</t>
  </si>
  <si>
    <t>Contig17364_25</t>
  </si>
  <si>
    <t>Contig17852_10</t>
  </si>
  <si>
    <t>Contig18031_39</t>
  </si>
  <si>
    <t>Contig17970_150</t>
  </si>
  <si>
    <t>Contig17144_5</t>
  </si>
  <si>
    <t>Contig17891_118</t>
  </si>
  <si>
    <t>Contig808_3</t>
  </si>
  <si>
    <t>Contig17685_3</t>
  </si>
  <si>
    <t>Contig18032_78</t>
  </si>
  <si>
    <t>Contig5571_22</t>
  </si>
  <si>
    <t>Contig17971_250</t>
  </si>
  <si>
    <t>Contig17830_55</t>
  </si>
  <si>
    <t>Contig17825_23</t>
  </si>
  <si>
    <t>Contig17896_130</t>
  </si>
  <si>
    <t>Contig18037_18</t>
  </si>
  <si>
    <t>Contig17160_2</t>
  </si>
  <si>
    <t>Contig17590_30</t>
  </si>
  <si>
    <t>Contig15608_3</t>
  </si>
  <si>
    <t>Contig17850_27</t>
  </si>
  <si>
    <t>Contig18061_163</t>
  </si>
  <si>
    <t>Contig17851_114</t>
  </si>
  <si>
    <t>Contig17709_31</t>
  </si>
  <si>
    <t>Contig17834_1</t>
  </si>
  <si>
    <t>Contig17955_250</t>
  </si>
  <si>
    <t>Contig18036_44</t>
  </si>
  <si>
    <t>Contig17849_53</t>
  </si>
  <si>
    <t>Contig17215_4</t>
  </si>
  <si>
    <t>Contig16285_5</t>
  </si>
  <si>
    <t>Contig17966_159</t>
  </si>
  <si>
    <t>Contig16819_4</t>
  </si>
  <si>
    <t>Contig17151_4</t>
  </si>
  <si>
    <t>Contig17683_7</t>
  </si>
  <si>
    <t>Contig17812_36</t>
  </si>
  <si>
    <t>Contig17909_61</t>
  </si>
  <si>
    <t>Contig15999_2</t>
  </si>
  <si>
    <t>Contig17383_8</t>
  </si>
  <si>
    <t>Contig17527_16</t>
  </si>
  <si>
    <t>Contig17909_35</t>
  </si>
  <si>
    <t>Contig17898_11</t>
  </si>
  <si>
    <t>Contig18015_38</t>
  </si>
  <si>
    <t>Contig17588_10</t>
  </si>
  <si>
    <t>Contig17857_58</t>
  </si>
  <si>
    <t>Contig7823_1</t>
  </si>
  <si>
    <t>Contig17893_55</t>
  </si>
  <si>
    <t>Contig22712_1</t>
  </si>
  <si>
    <t>Contig1437_2</t>
  </si>
  <si>
    <t>Contig17970_698</t>
  </si>
  <si>
    <t>Contig17819_68</t>
  </si>
  <si>
    <t>Contig17146_15</t>
  </si>
  <si>
    <t>Contig17812_34</t>
  </si>
  <si>
    <t>Contig17567_10</t>
  </si>
  <si>
    <t>Contig17403_16</t>
  </si>
  <si>
    <t>Contig17959_89</t>
  </si>
  <si>
    <t>Contig17891_121</t>
  </si>
  <si>
    <t>Contig17635_30</t>
  </si>
  <si>
    <t>Contig17963_37</t>
  </si>
  <si>
    <t>Contig7471_2</t>
  </si>
  <si>
    <t>Contig16086_9</t>
  </si>
  <si>
    <t>Contig17878_69</t>
  </si>
  <si>
    <t>Contig4177_3</t>
  </si>
  <si>
    <t>Contig17965_34</t>
  </si>
  <si>
    <t>Contig17372_9</t>
  </si>
  <si>
    <t>Contig18032_73</t>
  </si>
  <si>
    <t>Contig17971_367</t>
  </si>
  <si>
    <t>Contig8150_1</t>
  </si>
  <si>
    <t>Contig17852_67</t>
  </si>
  <si>
    <t>Contig17940_72</t>
  </si>
  <si>
    <t>Contig17907_20</t>
  </si>
  <si>
    <t>Contig18070_21</t>
  </si>
  <si>
    <t>Contig17854_91</t>
  </si>
  <si>
    <t>Contig17801_61</t>
  </si>
  <si>
    <t>Contig17791_8</t>
  </si>
  <si>
    <t>Contig17706_41</t>
  </si>
  <si>
    <t>Contig18047_205</t>
  </si>
  <si>
    <t>Contig18037_4</t>
  </si>
  <si>
    <t>Contig17728_54</t>
  </si>
  <si>
    <t>Contig17604_48</t>
  </si>
  <si>
    <t>Contig6820_5</t>
  </si>
  <si>
    <t>Contig17907_89</t>
  </si>
  <si>
    <t>Contig17872_112</t>
  </si>
  <si>
    <t>Contig17963_38</t>
  </si>
  <si>
    <t>Contig10370_3</t>
  </si>
  <si>
    <t>Contig18051_98</t>
  </si>
  <si>
    <t>Contig17729_72</t>
  </si>
  <si>
    <t>Contig17896_56</t>
  </si>
  <si>
    <t>Contig17794_96</t>
  </si>
  <si>
    <t>Contig3111_5</t>
  </si>
  <si>
    <t>Contig17357_20</t>
  </si>
  <si>
    <t>Contig17909_77</t>
  </si>
  <si>
    <t>Contig17945_17</t>
  </si>
  <si>
    <t>Contig17918_17</t>
  </si>
  <si>
    <t>Contig17969_105</t>
  </si>
  <si>
    <t>Contig17847_100</t>
  </si>
  <si>
    <t>Contig17398_11</t>
  </si>
  <si>
    <t>Contig17942_176</t>
  </si>
  <si>
    <t>Contig7881_1</t>
  </si>
  <si>
    <t>Contig8174_1</t>
  </si>
  <si>
    <t>Contig17812_30</t>
  </si>
  <si>
    <t>Contig17383_11</t>
  </si>
  <si>
    <t>Contig17897_7</t>
  </si>
  <si>
    <t>Contig17792_130</t>
  </si>
  <si>
    <t>Contig18002_12</t>
  </si>
  <si>
    <t>Contig15973_8</t>
  </si>
  <si>
    <t>Contig15864_4</t>
  </si>
  <si>
    <t>Contig17959_111</t>
  </si>
  <si>
    <t>Contig17326_44</t>
  </si>
  <si>
    <t>Contig17767_9</t>
  </si>
  <si>
    <t>Contig17936_8</t>
  </si>
  <si>
    <t>Contig17830_41</t>
  </si>
  <si>
    <t>Contig3225_5</t>
  </si>
  <si>
    <t>Contig17851_6</t>
  </si>
  <si>
    <t>Contig17575_33</t>
  </si>
  <si>
    <t>Contig17488_2</t>
  </si>
  <si>
    <t>Contig17543_20</t>
  </si>
  <si>
    <t>Contig18034_95</t>
  </si>
  <si>
    <t>Contig8391_3</t>
  </si>
  <si>
    <t>Contig4234_4</t>
  </si>
  <si>
    <t>Contig17852_77</t>
  </si>
  <si>
    <t>Contig17836_23</t>
  </si>
  <si>
    <t>Contig16400_4</t>
  </si>
  <si>
    <t>Contig17512_3</t>
  </si>
  <si>
    <t>Contig2539_5</t>
  </si>
  <si>
    <t>Contig17830_129</t>
  </si>
  <si>
    <t>Contig808_2</t>
  </si>
  <si>
    <t>Contig17970_431</t>
  </si>
  <si>
    <t>Contig17966_73</t>
  </si>
  <si>
    <t>Contig4158_3</t>
  </si>
  <si>
    <t>Contig18070_346</t>
  </si>
  <si>
    <t>Contig17914_3</t>
  </si>
  <si>
    <t>Contig5015_1</t>
  </si>
  <si>
    <t>Contig18035_25</t>
  </si>
  <si>
    <t>Contig18021_45</t>
  </si>
  <si>
    <t>Contig16250_1</t>
  </si>
  <si>
    <t>Contig18001_14</t>
  </si>
  <si>
    <t>Contig16785_1</t>
  </si>
  <si>
    <t>Contig17106_8</t>
  </si>
  <si>
    <t>Contig17725_24</t>
  </si>
  <si>
    <t>Contig3102_2</t>
  </si>
  <si>
    <t>Contig17967_29</t>
  </si>
  <si>
    <t>Contig17558_45</t>
  </si>
  <si>
    <t>Contig17350_13</t>
  </si>
  <si>
    <t>Contig17934_11</t>
  </si>
  <si>
    <t>Contig17963_39</t>
  </si>
  <si>
    <t>Contig17920_108</t>
  </si>
  <si>
    <t>Contig1709_2</t>
  </si>
  <si>
    <t>Contig4177_4</t>
  </si>
  <si>
    <t>Contig17710_43</t>
  </si>
  <si>
    <t>Contig1709_3</t>
  </si>
  <si>
    <t>Contig18057_340</t>
  </si>
  <si>
    <t>Contig17966_82</t>
  </si>
  <si>
    <t>Contig17157_4</t>
  </si>
  <si>
    <t>Infected</t>
  </si>
  <si>
    <t>Not Infected</t>
  </si>
  <si>
    <t>Inf - nInf |H-I|</t>
  </si>
  <si>
    <t>salivary secreted protein</t>
  </si>
  <si>
    <t>s/</t>
  </si>
  <si>
    <t>ps</t>
  </si>
  <si>
    <t>Unknown product</t>
  </si>
  <si>
    <t>uk</t>
  </si>
  <si>
    <t>tr</t>
  </si>
  <si>
    <t>met/lipd</t>
  </si>
  <si>
    <t>cathepsin D</t>
  </si>
  <si>
    <t>pm</t>
  </si>
  <si>
    <t>met/carb</t>
  </si>
  <si>
    <t>NBP2b protein</t>
  </si>
  <si>
    <t>uc</t>
  </si>
  <si>
    <t>hypothetical mucin</t>
  </si>
  <si>
    <t>te</t>
  </si>
  <si>
    <t>cs</t>
  </si>
  <si>
    <t>midasin - ribosomal large subunit assembly - rRNA processing - calcium ion binding - ATPase - ATP binding - nucleus</t>
  </si>
  <si>
    <t>proteasome subunit beta type 58</t>
  </si>
  <si>
    <t>prot</t>
  </si>
  <si>
    <t>met/energy</t>
  </si>
  <si>
    <t>tm</t>
  </si>
  <si>
    <t>st</t>
  </si>
  <si>
    <t>detox/ox</t>
  </si>
  <si>
    <t>extmat</t>
  </si>
  <si>
    <t>pe</t>
  </si>
  <si>
    <t>Probable G-protein coupled receptor 158</t>
  </si>
  <si>
    <t>hypothetical protein TcasGA2_TC012551</t>
  </si>
  <si>
    <t>10 kDa heat shock protein Pediculus humanus corporis</t>
  </si>
  <si>
    <t>Syntaxin 13 - cytokinesis after mitosis - cytokinesis after meiosis I - mitosis - male meiosis - female meiosis - vesicle-mediated transport</t>
  </si>
  <si>
    <t>nonstructural protein precursor Triatoma virus</t>
  </si>
  <si>
    <t>vir/</t>
  </si>
  <si>
    <t>tf</t>
  </si>
  <si>
    <t>hypothetical protein TcasGA2_TC000274</t>
  </si>
  <si>
    <t>tubulin polymerization promoting protein</t>
  </si>
  <si>
    <t>hemolysin-like secreted salivary protein 1</t>
  </si>
  <si>
    <t>Hydroxysteroid dehydrogenase-like protein 2</t>
  </si>
  <si>
    <t>hemoglobin alpha adult chain 2 - regulation of sensory perception of pain - protein heterooligomerization - erythrocyte development - negative</t>
  </si>
  <si>
    <t>nr</t>
  </si>
  <si>
    <t>fatbody protein 3Rev-G1 Bombyx mori</t>
  </si>
  <si>
    <t>hypothetical protein</t>
  </si>
  <si>
    <t>polyprotein</t>
  </si>
  <si>
    <t>polyprotein Slow bee paralysis virus</t>
  </si>
  <si>
    <t>imm</t>
  </si>
  <si>
    <t>Kazal-type inhibitor</t>
  </si>
  <si>
    <t>s/protinh</t>
  </si>
  <si>
    <t>eukaryotic translation initiation factor 3 subunit Pediculus humanus corporis</t>
  </si>
  <si>
    <t>60S acidic ribosomal protein P0</t>
  </si>
  <si>
    <t>pm/protease</t>
  </si>
  <si>
    <t>Serine protease inhibitor dipetalogastin (Fragment)</t>
  </si>
  <si>
    <t>RE17222p</t>
  </si>
  <si>
    <t>truncated histone H1</t>
  </si>
  <si>
    <t>40S ribosomal protein S4</t>
  </si>
  <si>
    <t>ENSANGP00000001286</t>
  </si>
  <si>
    <t>CG5112 - lipid particle - fatty acid amide hydrolase</t>
  </si>
  <si>
    <t>mitochondrial ribosomal protein L33 - mitochondrion - mitochondrial large ribosomal subunit - structural constituent of ribosome - translation</t>
  </si>
  <si>
    <t>60S ribosomal protein L26</t>
  </si>
  <si>
    <t>multifunctional chaperone</t>
  </si>
  <si>
    <t>effete - protein ubiquitination - compound eye photoreceptor cell differentiation - regulation of R7 cell differentiation - oogenesis - compound eye</t>
  </si>
  <si>
    <t>Nuclear hormone receptor FTZ-F1 Pediculus humanus corporis</t>
  </si>
  <si>
    <t>lola like - protein binding - chromatin silencing - nucleus - specific RNA polymerase II transcription factor - regulation of transcription from RNA</t>
  </si>
  <si>
    <t>Amphoterin-induced protein 2 precursor Pediculus humanus corporis</t>
  </si>
  <si>
    <t>capsid protein precursor Triatoma virus</t>
  </si>
  <si>
    <t>60S ribosomal protein L37</t>
  </si>
  <si>
    <t>oo18 RNA-binding protein - positive regulation of oskar mRNA translation - protein binding - germ cell development - oocyte axis specification -</t>
  </si>
  <si>
    <t>low-density lipoprotein receptor Pediculus humanus corporis</t>
  </si>
  <si>
    <t>reverse transcriptase</t>
  </si>
  <si>
    <t>Triosephosphate isomerase</t>
  </si>
  <si>
    <t>ribosomal protein L35Ae Tribolium castaneum</t>
  </si>
  <si>
    <t>fatty acid-binding lipocalin</t>
  </si>
  <si>
    <t>COMM domain containing 7 - NF-kappaB binding - tumor necrosis factor-mediated signaling pathway - negative regulation of NF-kappaB transcription</t>
  </si>
  <si>
    <t>40S ribosomal protein S23</t>
  </si>
  <si>
    <t>40S ribosomal protein S8</t>
  </si>
  <si>
    <t>microsomal signal peptidase 25 kD subunit</t>
  </si>
  <si>
    <t>CG41536 CG41536-PA</t>
  </si>
  <si>
    <t>CG10527 - farnesoic acid O-methyltransferase</t>
  </si>
  <si>
    <t>nitrophorin 1A precursor</t>
  </si>
  <si>
    <t>rhodnius biogenic aminebinding-like protein</t>
  </si>
  <si>
    <t>secreted salivary peptide precursor</t>
  </si>
  <si>
    <t>database</t>
  </si>
  <si>
    <t>Evalue</t>
  </si>
  <si>
    <t>coverage</t>
  </si>
  <si>
    <t>ribosomal protein L6</t>
  </si>
  <si>
    <t>Choline transporter-like protein 4</t>
  </si>
  <si>
    <t>3-hydroxyacyl-CoA dehydratase 2</t>
  </si>
  <si>
    <t>4-hydroxyphenylpyruvate dioxygenase Aedes aegypti</t>
  </si>
  <si>
    <t>discs large 1 - establishment of spindle orientation - postsynaptic membrane - asymmetric protein localization involved in cell fate determination -</t>
  </si>
  <si>
    <t>probable maltase L-like</t>
  </si>
  <si>
    <t>localizes to the ER highly enriched in a structure marking nuclear-vacuolar junctions coimmunoprecipitates with elongases Fen1p and Sur4p"</t>
  </si>
  <si>
    <t>ORF B (bases 1850-5560) first start codon at 2306</t>
  </si>
  <si>
    <t>CG1542 - molecular_function - nucleolus - rRNA processing</t>
  </si>
  <si>
    <t>lethal (2) 06225 - lipid particle - mitochondrial proton-transporting ATP synthase complex coupling factor F(o) - proton transport -</t>
  </si>
  <si>
    <t>heme-binding protein</t>
  </si>
  <si>
    <t>AGAP004450-PA Tribolium castaneum</t>
  </si>
  <si>
    <t>CG7920 - lipid particle - 4-hydroxybutyrate CoA-transferase</t>
  </si>
  <si>
    <t>enhancer of rudimentary - transcription regulator - regulation of transcription from RNA polymerase II promoter</t>
  </si>
  <si>
    <t>cathepsin D (lysosomal aspartyl protease)</t>
  </si>
  <si>
    <t>heterogeneous nuclear ribonucleoprotein 87F-like</t>
  </si>
  <si>
    <t>selenide water dikinase selenocysteine-containing - tRNA aminoacylation for protein translation - selenide water dikinase</t>
  </si>
  <si>
    <t>cytochrome P450 Cyp6b29 Bombyx mori</t>
  </si>
  <si>
    <t>vesicle-associated membrane protein 3 (cellubrevin) - molecular_function</t>
  </si>
  <si>
    <t>inositol-trisphosphate 3-kinase A-like</t>
  </si>
  <si>
    <t>Periplasmic trehalase</t>
  </si>
  <si>
    <t>translocon-associated protein subunit alpha Tribolium castaneum</t>
  </si>
  <si>
    <t>vesicle associated protein</t>
  </si>
  <si>
    <t>NADH dehydrogenase subunit 5 Triatoma dimidiata</t>
  </si>
  <si>
    <t>mitogen-activated protein kinase 14B isoform 1</t>
  </si>
  <si>
    <t>Tetraspanin 2A - integral to membrane</t>
  </si>
  <si>
    <t>alpha-glucosidase binding-toxin receptor</t>
  </si>
  <si>
    <t>Sec61alpha - head involution - dorsal closure - cuticle development - cell death - translocon complex - protein transporter</t>
  </si>
  <si>
    <t>hydroxyprostaglandin dehydrogenase 15 (NAD) - NAD or NADH binding - negative regulation of cell cycle - 15-hydroxyprostaglandin dehydrogenase (NAD+)</t>
  </si>
  <si>
    <t>NADH dehydrogenase I H subunit - NADH dehydrogenase (ubiquinone) - mitochondrial electron transport NADH to ubiquinone</t>
  </si>
  <si>
    <t>cytochrome P450 CYP6BK17 Tribolium castaneum</t>
  </si>
  <si>
    <t>eukaryotic translation initiation factor 3 subunit I-like</t>
  </si>
  <si>
    <t>scavenger mRNA decapping enzyme DcpS Pediculus humanus corporis</t>
  </si>
  <si>
    <t>ribosomal protein L27 Acyrthosiphon pisum</t>
  </si>
  <si>
    <t>hypothetical protein LOC100579034 partial</t>
  </si>
  <si>
    <t>Aquaporin AQPAe.a Pediculus humanus corporis</t>
  </si>
  <si>
    <t>Luc7 homolog (S. cerevisiae)-like - negative regulation of striated muscle development - RS domain binding - protein binding - nucleus</t>
  </si>
  <si>
    <t>solute carrier organic anion transporter family member 5A1-like</t>
  </si>
  <si>
    <t>intracellular protein transport - ovulation from ovarian follicle - oocyte growth - molting cycle collagen and cuticulin-based cuticle -</t>
  </si>
  <si>
    <t>Oligomycin sensitivity-conferring protein - lipid particle - mitochondrial proton-transporting ATP synthase central stalk - proton transport -</t>
  </si>
  <si>
    <t>mitochondrial NADH:ubiquinone oxidoreductase ESSS subunit</t>
  </si>
  <si>
    <t>DnaJ (Hsp40) homolog subfamily A member 3 - unfolded protein binding - positive regulation of T cell proliferation - T cell differentiation in the</t>
  </si>
  <si>
    <t>myosin regulatory light chain 2 smooth muscle Aedes aegypti</t>
  </si>
  <si>
    <t>ENSANGP00000031364</t>
  </si>
  <si>
    <t>selenoprotein S-like Acyrthosiphon pisum</t>
  </si>
  <si>
    <t>40S ribosomal protein S21</t>
  </si>
  <si>
    <t>Senescence-associated protein Brugia malayi</t>
  </si>
  <si>
    <t>cell division cycle 2-like 1 - apoptosis - regulation of mitosis - nucleus - blastocyst development</t>
  </si>
  <si>
    <t>st/apoptosis</t>
  </si>
  <si>
    <t>Profilin</t>
  </si>
  <si>
    <t>Pre-mRNA-splicing factor syf2</t>
  </si>
  <si>
    <t>inorganic phosphate cotransporter-like isoform 1</t>
  </si>
  <si>
    <t>glutamate NMDA receptor-associated protein 1 Bombyx mori</t>
  </si>
  <si>
    <t>Lysozyme X - antimicrobial humoral response - defense response - lysozyme</t>
  </si>
  <si>
    <t>hypothetical protein AaeL_AAEL012646 Aedes aegypti</t>
  </si>
  <si>
    <t>PPPDE peptidase domain-containing protein 1-like isoform 1 Apis mellifera</t>
  </si>
  <si>
    <t>40S ribosomal protein S14 Pediculus humanus corporis</t>
  </si>
  <si>
    <t>mitochondrial import inner membrane translocase subunit Tim9 B Pediculus humanus corporis</t>
  </si>
  <si>
    <t>predicted RNA-binding protein</t>
  </si>
  <si>
    <t>UDP-glucose:glycoprotein glucosyltransferase</t>
  </si>
  <si>
    <t>Golgi SNAP receptor complex member 1 isoform 2</t>
  </si>
  <si>
    <t>vacuolar protein sorting-associated protein 28 homolog</t>
  </si>
  <si>
    <t>AGAP005091-PB</t>
  </si>
  <si>
    <t>rhomboid</t>
  </si>
  <si>
    <t>Cyclophilin 1 - salivary gland cell autophagic cell death - autophagic cell death - positive transcription elongation factor complex b - nuclear</t>
  </si>
  <si>
    <t>Cytochrome c oxidase subunit 2</t>
  </si>
  <si>
    <t>tetraspanin 6 Apis mellifera</t>
  </si>
  <si>
    <t>tubulin alpha 3A - microtubule basal body - cilium - microtubule</t>
  </si>
  <si>
    <t>NADH dehydrogenase subunit 4 Triatoma dimidiata</t>
  </si>
  <si>
    <t>Lysozyme P - antimicrobial humoral response - lysozyme</t>
  </si>
  <si>
    <t>tubulin beta-1 chain Apis mellifera</t>
  </si>
  <si>
    <t>bladder cancer-associated protein-like</t>
  </si>
  <si>
    <t>elongation factor 1-alpha</t>
  </si>
  <si>
    <t>lipase</t>
  </si>
  <si>
    <t>ribosomal protein L5</t>
  </si>
  <si>
    <t>Heat shock 70 kDa protein cognate 4</t>
  </si>
  <si>
    <t>malectin - carbohydrate binding - endoplasmic reticulum</t>
  </si>
  <si>
    <t>Ras-related small GTPase</t>
  </si>
  <si>
    <t>CG9413 - amino acid transport - amino acid transmembrane transporter</t>
  </si>
  <si>
    <t>catalase Aedes aegypti</t>
  </si>
  <si>
    <t>Aquaporin AQPcic Pediculus humanus corporis</t>
  </si>
  <si>
    <t>pre-mRNA-splicing factor cwc15 Pediculus humanus corporis</t>
  </si>
  <si>
    <t>ribosomal protein S25</t>
  </si>
  <si>
    <t>TRAPP complex subunit Bet3 (predicted) - TRAPP complex - intracellular protein transport - ER to Golgi vesicle-mediated transport - molecular_function</t>
  </si>
  <si>
    <t>cytochrome oxidase subunit 2</t>
  </si>
  <si>
    <t>Ubiquitin-40S ribosomal protein S27a</t>
  </si>
  <si>
    <t>cytochrome B</t>
  </si>
  <si>
    <t>Defensin - extracellular space - positive regulation of biosynthetic process of antibacterial peptides active against Gram-positive bacteria -</t>
  </si>
  <si>
    <t>probable maltase H</t>
  </si>
  <si>
    <t>proteasome subunit alpha type Pediculus humanus corporis</t>
  </si>
  <si>
    <t>aldo-keto reductase family 1 member B1 (aldose reductase) - positive regulation of smooth muscle cell proliferation - positive regulation of</t>
  </si>
  <si>
    <t>Actin-5C</t>
  </si>
  <si>
    <t>box H/ACA snoRNP Ixodes scapularis</t>
  </si>
  <si>
    <t>CG6873 - actin binding</t>
  </si>
  <si>
    <t>crystallin alpha B - contractile fiber - camera-type eye development - muscle organ development - structural constituent of eye lens - Z disc -</t>
  </si>
  <si>
    <t>hypothetical protein AaeL_AAEL007562 Aedes aegypti</t>
  </si>
  <si>
    <t>FL(2)D protein</t>
  </si>
  <si>
    <t>40S ribosomal protein S7-like Acyrthosiphon pisum</t>
  </si>
  <si>
    <t>nucleoporin 50kDa</t>
  </si>
  <si>
    <t>thioredoxin</t>
  </si>
  <si>
    <t>CG41536 CG41536-PA partial Tribolium castaneum</t>
  </si>
  <si>
    <t>salivary secreted peptide</t>
  </si>
  <si>
    <t>NADH dehydrogenase subunit 2 Triatoma dimidiata</t>
  </si>
  <si>
    <t>Probable arginine kinase ZC434.8 - protein binding</t>
  </si>
  <si>
    <t>triabin-like lipocalin precursor</t>
  </si>
  <si>
    <t>zgc:103600 - biological_process - cellular_component</t>
  </si>
  <si>
    <t>ubiquitin conjugating enzyme E2 J2 Tribolium castaneum</t>
  </si>
  <si>
    <t>hypothetical protein BRAFLDRAFT_115538 Branchiostoma floridae</t>
  </si>
  <si>
    <t>thioredoxin reductase isoform 2</t>
  </si>
  <si>
    <t>thioredoxin reductase 1 isoform 1</t>
  </si>
  <si>
    <t>mitochondrial ATPase subunit 6 - regulation of ATPase - neurological system process - muscle maintenance - determination of adult life span -</t>
  </si>
  <si>
    <t>defensin A</t>
  </si>
  <si>
    <t>defensin</t>
  </si>
  <si>
    <t>positive regulation of growth rate - hermaphrodite genitalia development - molting cycle collagen and cuticulin-based cuticle - nematode larval</t>
  </si>
  <si>
    <t>conserved hypothetical protein</t>
  </si>
  <si>
    <t xml:space="preserve">Inf - nInf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</si>
</sst>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1" fontId="0" fillId="0" borderId="0" xfId="0" applyNumberFormat="1"/>
    <xf numFmtId="0" fontId="0" fillId="34" borderId="0" xfId="0" applyFill="1"/>
    <xf numFmtId="0" fontId="0" fillId="35" borderId="0" xfId="0" applyFill="1"/>
    <xf numFmtId="0" fontId="0" fillId="0" borderId="0" xfId="0" applyFill="1"/>
    <xf numFmtId="164" fontId="0" fillId="0" borderId="0" xfId="0" applyNumberFormat="1" applyFill="1"/>
    <xf numFmtId="11" fontId="0" fillId="0" borderId="0" xfId="0" applyNumberFormat="1" applyFill="1"/>
    <xf numFmtId="0" fontId="20" fillId="0" borderId="0" xfId="42" applyFont="1" applyFill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60"/>
  <sheetViews>
    <sheetView workbookViewId="0">
      <pane xSplit="1" ySplit="1" topLeftCell="B180" activePane="bottomRight" state="frozen"/>
      <selection pane="topRight" activeCell="B1" sqref="B1"/>
      <selection pane="bottomLeft" activeCell="A2" sqref="A2"/>
      <selection pane="bottomRight" activeCell="K183" sqref="K183"/>
    </sheetView>
  </sheetViews>
  <sheetFormatPr defaultRowHeight="15"/>
  <sheetData>
    <row r="1" spans="1:119" s="1" customFormat="1" ht="90">
      <c r="A1" s="1" t="s">
        <v>31</v>
      </c>
      <c r="B1" s="1" t="s">
        <v>32</v>
      </c>
      <c r="C1" s="1" t="s">
        <v>0</v>
      </c>
      <c r="D1" s="1" t="s">
        <v>1</v>
      </c>
      <c r="E1" s="1" t="s">
        <v>3</v>
      </c>
      <c r="F1" s="1" t="s">
        <v>30</v>
      </c>
      <c r="G1" s="1" t="s">
        <v>1</v>
      </c>
      <c r="H1" s="1" t="s">
        <v>4</v>
      </c>
      <c r="I1" s="1" t="s">
        <v>5</v>
      </c>
      <c r="J1" s="1" t="s">
        <v>6</v>
      </c>
      <c r="K1" s="1" t="s">
        <v>1164</v>
      </c>
      <c r="L1" s="1" t="s">
        <v>1165</v>
      </c>
      <c r="M1" s="1" t="s">
        <v>1166</v>
      </c>
      <c r="N1" s="1" t="s">
        <v>2</v>
      </c>
      <c r="O1" s="1" t="s">
        <v>1171</v>
      </c>
      <c r="P1" s="1" t="s">
        <v>1244</v>
      </c>
      <c r="Q1" s="1" t="s">
        <v>1245</v>
      </c>
      <c r="R1" s="1" t="s">
        <v>1246</v>
      </c>
      <c r="S1" s="1" t="s">
        <v>262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43</v>
      </c>
      <c r="AD1" s="1" t="s">
        <v>44</v>
      </c>
      <c r="AE1" s="1" t="s">
        <v>45</v>
      </c>
      <c r="AF1" s="1" t="s">
        <v>46</v>
      </c>
      <c r="AG1" s="1" t="s">
        <v>47</v>
      </c>
      <c r="AH1" s="1" t="s">
        <v>48</v>
      </c>
      <c r="AI1" s="1" t="s">
        <v>49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49</v>
      </c>
      <c r="AX1" s="1" t="s">
        <v>982</v>
      </c>
      <c r="AY1" s="1" t="s">
        <v>34</v>
      </c>
      <c r="AZ1" s="1" t="s">
        <v>35</v>
      </c>
      <c r="BA1" s="1" t="s">
        <v>36</v>
      </c>
      <c r="BB1" s="1" t="s">
        <v>37</v>
      </c>
      <c r="BC1" s="1" t="s">
        <v>38</v>
      </c>
      <c r="BD1" s="1" t="s">
        <v>39</v>
      </c>
      <c r="BE1" s="1" t="s">
        <v>40</v>
      </c>
      <c r="BF1" s="1" t="s">
        <v>41</v>
      </c>
      <c r="BG1" s="1" t="s">
        <v>42</v>
      </c>
      <c r="BH1" s="1" t="s">
        <v>43</v>
      </c>
      <c r="BI1" s="1" t="s">
        <v>44</v>
      </c>
      <c r="BJ1" s="1" t="s">
        <v>45</v>
      </c>
      <c r="BK1" s="1" t="s">
        <v>303</v>
      </c>
      <c r="BL1" s="1" t="s">
        <v>34</v>
      </c>
      <c r="BM1" s="1" t="s">
        <v>304</v>
      </c>
      <c r="BN1" s="1" t="s">
        <v>305</v>
      </c>
      <c r="BO1" s="1" t="s">
        <v>306</v>
      </c>
      <c r="BP1" s="1" t="s">
        <v>307</v>
      </c>
      <c r="BQ1" s="1" t="s">
        <v>308</v>
      </c>
      <c r="BR1" s="1" t="s">
        <v>309</v>
      </c>
      <c r="BS1" s="1" t="s">
        <v>310</v>
      </c>
      <c r="BT1" s="1" t="s">
        <v>311</v>
      </c>
      <c r="BU1" s="1" t="s">
        <v>307</v>
      </c>
      <c r="BV1" s="1" t="s">
        <v>312</v>
      </c>
      <c r="BW1" s="1" t="s">
        <v>313</v>
      </c>
      <c r="BX1" s="1" t="s">
        <v>314</v>
      </c>
      <c r="BY1" s="1" t="s">
        <v>315</v>
      </c>
      <c r="BZ1" s="1" t="s">
        <v>307</v>
      </c>
      <c r="CA1" s="1" t="s">
        <v>316</v>
      </c>
      <c r="CB1" s="1" t="s">
        <v>970</v>
      </c>
      <c r="CC1" s="1" t="s">
        <v>34</v>
      </c>
      <c r="CD1" s="1" t="s">
        <v>971</v>
      </c>
      <c r="CE1" s="1" t="s">
        <v>973</v>
      </c>
      <c r="CF1" s="1" t="s">
        <v>34</v>
      </c>
      <c r="CG1" s="1" t="s">
        <v>974</v>
      </c>
      <c r="CH1" s="1" t="s">
        <v>976</v>
      </c>
      <c r="CI1" s="1" t="s">
        <v>34</v>
      </c>
      <c r="CJ1" s="1" t="s">
        <v>977</v>
      </c>
      <c r="CK1" s="1" t="s">
        <v>34</v>
      </c>
      <c r="CL1" s="1" t="s">
        <v>978</v>
      </c>
      <c r="CM1" s="1" t="s">
        <v>34</v>
      </c>
      <c r="CN1" s="1" t="s">
        <v>979</v>
      </c>
      <c r="CO1" s="1" t="s">
        <v>34</v>
      </c>
      <c r="CP1" s="1" t="s">
        <v>35</v>
      </c>
      <c r="CQ1" s="1" t="s">
        <v>36</v>
      </c>
      <c r="CR1" s="1" t="s">
        <v>37</v>
      </c>
      <c r="CS1" s="1" t="s">
        <v>38</v>
      </c>
      <c r="CT1" s="1" t="s">
        <v>39</v>
      </c>
      <c r="CU1" s="1" t="s">
        <v>40</v>
      </c>
      <c r="CV1" s="1" t="s">
        <v>41</v>
      </c>
      <c r="CW1" s="1" t="s">
        <v>42</v>
      </c>
      <c r="CX1" s="1" t="s">
        <v>43</v>
      </c>
      <c r="CY1" s="1" t="s">
        <v>44</v>
      </c>
      <c r="CZ1" s="1" t="s">
        <v>45</v>
      </c>
      <c r="DA1" s="1" t="s">
        <v>48</v>
      </c>
      <c r="DB1" s="1" t="s">
        <v>980</v>
      </c>
      <c r="DC1" s="1" t="s">
        <v>34</v>
      </c>
      <c r="DD1" s="1" t="s">
        <v>35</v>
      </c>
      <c r="DE1" s="1" t="s">
        <v>36</v>
      </c>
      <c r="DF1" s="1" t="s">
        <v>37</v>
      </c>
      <c r="DG1" s="1" t="s">
        <v>38</v>
      </c>
      <c r="DH1" s="1" t="s">
        <v>39</v>
      </c>
      <c r="DI1" s="1" t="s">
        <v>40</v>
      </c>
      <c r="DJ1" s="1" t="s">
        <v>41</v>
      </c>
      <c r="DK1" s="1" t="s">
        <v>42</v>
      </c>
      <c r="DL1" s="1" t="s">
        <v>43</v>
      </c>
      <c r="DM1" s="1" t="s">
        <v>44</v>
      </c>
      <c r="DN1" s="1" t="s">
        <v>45</v>
      </c>
      <c r="DO1" s="1" t="s">
        <v>48</v>
      </c>
    </row>
    <row r="2" spans="1:119">
      <c r="A2" s="6" t="str">
        <f>HYPERLINK(".\links\pep\TI-549-pep.txt","TI-549")</f>
        <v>TI-549</v>
      </c>
      <c r="B2" s="6">
        <v>549</v>
      </c>
      <c r="C2" s="6" t="s">
        <v>7</v>
      </c>
      <c r="D2" s="6">
        <v>121</v>
      </c>
      <c r="E2" s="6">
        <v>0</v>
      </c>
      <c r="F2" s="6" t="str">
        <f>HYPERLINK(".\links\cds\TI-549-cds.txt","TI-549")</f>
        <v>TI-549</v>
      </c>
      <c r="G2" s="6">
        <v>362</v>
      </c>
      <c r="H2" s="6"/>
      <c r="I2" s="6" t="s">
        <v>29</v>
      </c>
      <c r="J2" s="6" t="s">
        <v>8</v>
      </c>
      <c r="K2" s="6">
        <v>1</v>
      </c>
      <c r="L2" s="6">
        <v>2</v>
      </c>
      <c r="M2" s="6">
        <f t="shared" ref="M2:M54" si="0">ABS(K2-L2)</f>
        <v>1</v>
      </c>
      <c r="N2" s="6" t="s">
        <v>1170</v>
      </c>
      <c r="O2" s="6" t="s">
        <v>1171</v>
      </c>
      <c r="P2" s="6"/>
      <c r="Q2" s="6"/>
      <c r="R2" s="6"/>
      <c r="S2" s="6" t="str">
        <f>HYPERLINK(".\links\NR-LIGHT\TI-549-NR-LIGHT.txt","transcription factor IIIA - human (fragment) gi|551535|gb|AAA21873.1|")</f>
        <v>transcription factor IIIA - human (fragment) gi|551535|gb|AAA21873.1|</v>
      </c>
      <c r="T2" s="6" t="str">
        <f>HYPERLINK("http://www.ncbi.nlm.nih.gov/sutils/blink.cgi?pid=7443519","5.1")</f>
        <v>5.1</v>
      </c>
      <c r="U2" s="6" t="str">
        <f>HYPERLINK("http://www.ncbi.nlm.nih.gov/protein/7443519","gi|7443519")</f>
        <v>gi|7443519</v>
      </c>
      <c r="V2" s="6">
        <v>32</v>
      </c>
      <c r="W2" s="6">
        <v>90</v>
      </c>
      <c r="X2" s="6">
        <v>338</v>
      </c>
      <c r="Y2" s="6">
        <v>25</v>
      </c>
      <c r="Z2" s="6">
        <v>27</v>
      </c>
      <c r="AA2" s="6">
        <v>69</v>
      </c>
      <c r="AB2" s="6">
        <v>10</v>
      </c>
      <c r="AC2" s="6">
        <v>94</v>
      </c>
      <c r="AD2" s="6">
        <v>17</v>
      </c>
      <c r="AE2" s="6">
        <v>1</v>
      </c>
      <c r="AF2" s="6"/>
      <c r="AG2" s="6" t="s">
        <v>13</v>
      </c>
      <c r="AH2" s="6" t="s">
        <v>51</v>
      </c>
      <c r="AI2" s="6" t="s">
        <v>68</v>
      </c>
      <c r="AJ2" s="6" t="s">
        <v>8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 t="s">
        <v>8</v>
      </c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 t="s">
        <v>8</v>
      </c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 t="s">
        <v>8</v>
      </c>
      <c r="CC2" s="6"/>
      <c r="CD2" s="6"/>
      <c r="CE2" s="6" t="s">
        <v>8</v>
      </c>
      <c r="CF2" s="6"/>
      <c r="CG2" s="6"/>
      <c r="CH2" s="6" t="s">
        <v>8</v>
      </c>
      <c r="CI2" s="6"/>
      <c r="CJ2" s="6" t="s">
        <v>8</v>
      </c>
      <c r="CK2" s="6"/>
      <c r="CL2" s="6" t="s">
        <v>8</v>
      </c>
      <c r="CM2" s="6"/>
      <c r="CN2" s="6" t="s">
        <v>8</v>
      </c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 t="s">
        <v>8</v>
      </c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1:119">
      <c r="A3" t="str">
        <f>HYPERLINK(".\links\pep\TI-457-pep.txt","TI-457")</f>
        <v>TI-457</v>
      </c>
      <c r="B3">
        <v>457</v>
      </c>
      <c r="C3" t="s">
        <v>7</v>
      </c>
      <c r="D3">
        <v>113</v>
      </c>
      <c r="E3">
        <v>0</v>
      </c>
      <c r="F3" t="str">
        <f>HYPERLINK(".\links\cds\TI-457-cds.txt","TI-457")</f>
        <v>TI-457</v>
      </c>
      <c r="G3">
        <v>342</v>
      </c>
      <c r="I3" t="s">
        <v>29</v>
      </c>
      <c r="J3" t="s">
        <v>6</v>
      </c>
      <c r="K3">
        <v>2</v>
      </c>
      <c r="L3">
        <v>2</v>
      </c>
      <c r="M3">
        <f t="shared" si="0"/>
        <v>0</v>
      </c>
      <c r="N3" t="s">
        <v>1234</v>
      </c>
      <c r="O3" t="s">
        <v>1173</v>
      </c>
      <c r="P3" t="str">
        <f>HYPERLINK(".\links\NR-LIGHT\TI-457-NR-LIGHT.txt","NR-LIGHT")</f>
        <v>NR-LIGHT</v>
      </c>
      <c r="Q3" s="3">
        <v>1.0000000000000001E-43</v>
      </c>
      <c r="R3">
        <v>100</v>
      </c>
      <c r="S3" t="str">
        <f>HYPERLINK(".\links\NR-LIGHT\TI-457-NR-LIGHT.txt","fatty acid-binding lipocalin")</f>
        <v>fatty acid-binding lipocalin</v>
      </c>
      <c r="T3" t="str">
        <f>HYPERLINK("http://www.ncbi.nlm.nih.gov/sutils/blink.cgi?pid=263173263","1E-043")</f>
        <v>1E-043</v>
      </c>
      <c r="U3" t="str">
        <f>HYPERLINK("http://www.ncbi.nlm.nih.gov/protein/263173263","gi|263173263")</f>
        <v>gi|263173263</v>
      </c>
      <c r="V3">
        <v>177</v>
      </c>
      <c r="W3">
        <v>108</v>
      </c>
      <c r="X3">
        <v>109</v>
      </c>
      <c r="Y3">
        <v>77</v>
      </c>
      <c r="Z3">
        <v>100</v>
      </c>
      <c r="AA3">
        <v>24</v>
      </c>
      <c r="AB3">
        <v>0</v>
      </c>
      <c r="AC3">
        <v>1</v>
      </c>
      <c r="AD3">
        <v>5</v>
      </c>
      <c r="AE3">
        <v>1</v>
      </c>
      <c r="AG3" t="s">
        <v>13</v>
      </c>
      <c r="AH3" t="s">
        <v>51</v>
      </c>
      <c r="AI3" t="s">
        <v>280</v>
      </c>
      <c r="AJ3" t="str">
        <f>HYPERLINK(".\links\SWISSP\TI-457-SWISSP.txt","Fatty acid-binding protein, muscle OS=Schistocerca gregaria PE=1 SV=2")</f>
        <v>Fatty acid-binding protein, muscle OS=Schistocerca gregaria PE=1 SV=2</v>
      </c>
      <c r="AK3" t="str">
        <f>HYPERLINK("http://www.uniprot.org/uniprot/P41496","3E-027")</f>
        <v>3E-027</v>
      </c>
      <c r="AL3" t="s">
        <v>235</v>
      </c>
      <c r="AM3">
        <v>120</v>
      </c>
      <c r="AN3">
        <v>111</v>
      </c>
      <c r="AO3">
        <v>134</v>
      </c>
      <c r="AP3">
        <v>57</v>
      </c>
      <c r="AQ3">
        <v>84</v>
      </c>
      <c r="AR3">
        <v>48</v>
      </c>
      <c r="AS3">
        <v>1</v>
      </c>
      <c r="AT3">
        <v>22</v>
      </c>
      <c r="AU3">
        <v>1</v>
      </c>
      <c r="AV3">
        <v>1</v>
      </c>
      <c r="AW3" t="s">
        <v>236</v>
      </c>
      <c r="AX3" t="str">
        <f>HYPERLINK(".\links\PREV-RHOD-PEP\TI-457-PREV-RHOD-PEP.txt","Contig18021_45")</f>
        <v>Contig18021_45</v>
      </c>
      <c r="AY3" s="3">
        <v>5.0000000000000002E-57</v>
      </c>
      <c r="AZ3" t="s">
        <v>1144</v>
      </c>
      <c r="BA3">
        <v>215</v>
      </c>
      <c r="BB3">
        <v>112</v>
      </c>
      <c r="BC3">
        <v>134</v>
      </c>
      <c r="BD3">
        <v>94</v>
      </c>
      <c r="BE3">
        <v>84</v>
      </c>
      <c r="BF3">
        <v>6</v>
      </c>
      <c r="BG3">
        <v>0</v>
      </c>
      <c r="BH3">
        <v>22</v>
      </c>
      <c r="BI3">
        <v>1</v>
      </c>
      <c r="BJ3">
        <v>1</v>
      </c>
      <c r="BK3" t="s">
        <v>905</v>
      </c>
      <c r="BL3">
        <f>HYPERLINK(".\links\GO\TI-457-GO.txt",1E-22)</f>
        <v>1E-22</v>
      </c>
      <c r="BM3" t="s">
        <v>906</v>
      </c>
      <c r="BN3" t="s">
        <v>340</v>
      </c>
      <c r="BO3" t="s">
        <v>907</v>
      </c>
      <c r="BP3" t="s">
        <v>908</v>
      </c>
      <c r="BQ3" s="3">
        <v>7.9999999999999993E-21</v>
      </c>
      <c r="BR3" t="s">
        <v>447</v>
      </c>
      <c r="BS3" t="s">
        <v>323</v>
      </c>
      <c r="BT3" t="s">
        <v>334</v>
      </c>
      <c r="BU3" t="s">
        <v>448</v>
      </c>
      <c r="BV3" s="3">
        <v>7.9999999999999993E-21</v>
      </c>
      <c r="BW3" t="s">
        <v>909</v>
      </c>
      <c r="BX3" t="s">
        <v>340</v>
      </c>
      <c r="BY3" t="s">
        <v>907</v>
      </c>
      <c r="BZ3" t="s">
        <v>910</v>
      </c>
      <c r="CA3" s="3">
        <v>7.9999999999999993E-21</v>
      </c>
      <c r="CB3" t="s">
        <v>8</v>
      </c>
      <c r="CE3" t="s">
        <v>8</v>
      </c>
      <c r="CH3" t="s">
        <v>8</v>
      </c>
      <c r="CJ3" t="s">
        <v>8</v>
      </c>
      <c r="CL3" t="s">
        <v>8</v>
      </c>
      <c r="CN3" t="s">
        <v>8</v>
      </c>
      <c r="DB3" t="s">
        <v>8</v>
      </c>
    </row>
    <row r="4" spans="1:119">
      <c r="A4" s="6" t="str">
        <f>HYPERLINK(".\links\pep\TI-455-pep.txt","TI-455")</f>
        <v>TI-455</v>
      </c>
      <c r="B4" s="6">
        <v>455</v>
      </c>
      <c r="C4" s="6" t="s">
        <v>16</v>
      </c>
      <c r="D4" s="6">
        <v>41</v>
      </c>
      <c r="E4" s="6">
        <v>0</v>
      </c>
      <c r="F4" s="6" t="str">
        <f>HYPERLINK(".\links\cds\TI-455-cds.txt","TI-455")</f>
        <v>TI-455</v>
      </c>
      <c r="G4" s="6">
        <v>126</v>
      </c>
      <c r="H4" s="6"/>
      <c r="I4" s="6" t="s">
        <v>8</v>
      </c>
      <c r="J4" s="6" t="s">
        <v>6</v>
      </c>
      <c r="K4" s="6">
        <v>1</v>
      </c>
      <c r="L4" s="6">
        <v>1</v>
      </c>
      <c r="M4" s="6">
        <f t="shared" si="0"/>
        <v>0</v>
      </c>
      <c r="N4" s="6" t="s">
        <v>1170</v>
      </c>
      <c r="O4" s="6" t="s">
        <v>1171</v>
      </c>
      <c r="P4" s="6"/>
      <c r="Q4" s="6"/>
      <c r="R4" s="6"/>
      <c r="S4" s="6" t="s">
        <v>8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 t="s">
        <v>8</v>
      </c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 t="s">
        <v>8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 t="s">
        <v>8</v>
      </c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 t="s">
        <v>8</v>
      </c>
      <c r="CC4" s="6"/>
      <c r="CD4" s="6"/>
      <c r="CE4" s="6" t="s">
        <v>8</v>
      </c>
      <c r="CF4" s="6"/>
      <c r="CG4" s="6"/>
      <c r="CH4" s="6" t="s">
        <v>8</v>
      </c>
      <c r="CI4" s="6"/>
      <c r="CJ4" s="6" t="s">
        <v>8</v>
      </c>
      <c r="CK4" s="6"/>
      <c r="CL4" s="6" t="s">
        <v>8</v>
      </c>
      <c r="CM4" s="6"/>
      <c r="CN4" s="6" t="s">
        <v>8</v>
      </c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 t="str">
        <f>HYPERLINK(".\links\RRNA\TI-455-RRNA.txt","Hymenochirus curtipus 18S ribosomal RNA, partial")</f>
        <v>Hymenochirus curtipus 18S ribosomal RNA, partial</v>
      </c>
      <c r="DC4" s="6" t="str">
        <f>HYPERLINK("http://www.ncbi.nlm.nih.gov/entrez/viewer.fcgi?db=nucleotide&amp;val=174957","3E-011")</f>
        <v>3E-011</v>
      </c>
      <c r="DD4" s="6" t="str">
        <f>HYPERLINK("http://www.ncbi.nlm.nih.gov/entrez/viewer.fcgi?db=nucleotide&amp;val=174957","gi|174957")</f>
        <v>gi|174957</v>
      </c>
      <c r="DE4" s="6">
        <v>65.900000000000006</v>
      </c>
      <c r="DF4" s="6">
        <v>36</v>
      </c>
      <c r="DG4" s="6">
        <v>276</v>
      </c>
      <c r="DH4" s="6">
        <v>97</v>
      </c>
      <c r="DI4" s="6">
        <v>13</v>
      </c>
      <c r="DJ4" s="6">
        <v>1</v>
      </c>
      <c r="DK4" s="6">
        <v>0</v>
      </c>
      <c r="DL4" s="6">
        <v>193</v>
      </c>
      <c r="DM4" s="6">
        <v>1</v>
      </c>
      <c r="DN4" s="6">
        <v>1</v>
      </c>
      <c r="DO4" s="6" t="s">
        <v>51</v>
      </c>
    </row>
    <row r="5" spans="1:119">
      <c r="A5" s="6" t="str">
        <f>HYPERLINK(".\links\pep\TI-448-pep.txt","TI-448")</f>
        <v>TI-448</v>
      </c>
      <c r="B5" s="6">
        <v>448</v>
      </c>
      <c r="C5" s="6" t="s">
        <v>27</v>
      </c>
      <c r="D5" s="6">
        <v>231</v>
      </c>
      <c r="E5" s="6">
        <v>0</v>
      </c>
      <c r="F5" s="6" t="str">
        <f>HYPERLINK(".\links\cds\TI-448-cds.txt","TI-448")</f>
        <v>TI-448</v>
      </c>
      <c r="G5" s="6">
        <v>696</v>
      </c>
      <c r="H5" s="6"/>
      <c r="I5" s="6" t="s">
        <v>8</v>
      </c>
      <c r="J5" s="6" t="s">
        <v>6</v>
      </c>
      <c r="K5" s="6">
        <v>1</v>
      </c>
      <c r="L5" s="6">
        <v>1</v>
      </c>
      <c r="M5" s="6">
        <f t="shared" si="0"/>
        <v>0</v>
      </c>
      <c r="N5" s="6" t="s">
        <v>1170</v>
      </c>
      <c r="O5" s="6" t="s">
        <v>1171</v>
      </c>
      <c r="P5" s="6"/>
      <c r="Q5" s="6"/>
      <c r="R5" s="6"/>
      <c r="S5" s="6" t="str">
        <f>HYPERLINK(".\links\NR-LIGHT\TI-448-NR-LIGHT.txt","hypothetical protein PsyrptK_26593")</f>
        <v>hypothetical protein PsyrptK_26593</v>
      </c>
      <c r="T5" s="6" t="str">
        <f>HYPERLINK("http://www.ncbi.nlm.nih.gov/sutils/blink.cgi?pid=302063566","0.76")</f>
        <v>0.76</v>
      </c>
      <c r="U5" s="6" t="str">
        <f>HYPERLINK("http://www.ncbi.nlm.nih.gov/protein/302063566","gi|302063566")</f>
        <v>gi|302063566</v>
      </c>
      <c r="V5" s="6">
        <v>36.6</v>
      </c>
      <c r="W5" s="6">
        <v>52</v>
      </c>
      <c r="X5" s="6">
        <v>177</v>
      </c>
      <c r="Y5" s="6">
        <v>37</v>
      </c>
      <c r="Z5" s="6">
        <v>30</v>
      </c>
      <c r="AA5" s="6">
        <v>36</v>
      </c>
      <c r="AB5" s="6">
        <v>5</v>
      </c>
      <c r="AC5" s="6">
        <v>58</v>
      </c>
      <c r="AD5" s="6">
        <v>41</v>
      </c>
      <c r="AE5" s="6">
        <v>1</v>
      </c>
      <c r="AF5" s="6"/>
      <c r="AG5" s="6" t="s">
        <v>13</v>
      </c>
      <c r="AH5" s="6" t="s">
        <v>51</v>
      </c>
      <c r="AI5" s="6" t="s">
        <v>300</v>
      </c>
      <c r="AJ5" s="6" t="s">
        <v>8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 t="str">
        <f>HYPERLINK(".\links\PREV-RHOD-PEP\TI-448-PREV-RHOD-PEP.txt","Contig17914_3")</f>
        <v>Contig17914_3</v>
      </c>
      <c r="AY5" s="8">
        <v>1.9999999999999999E-64</v>
      </c>
      <c r="AZ5" s="6" t="s">
        <v>1141</v>
      </c>
      <c r="BA5" s="6">
        <v>241</v>
      </c>
      <c r="BB5" s="6">
        <v>222</v>
      </c>
      <c r="BC5" s="6">
        <v>225</v>
      </c>
      <c r="BD5" s="6">
        <v>51</v>
      </c>
      <c r="BE5" s="6">
        <v>99</v>
      </c>
      <c r="BF5" s="6">
        <v>110</v>
      </c>
      <c r="BG5" s="6">
        <v>3</v>
      </c>
      <c r="BH5" s="6">
        <v>1</v>
      </c>
      <c r="BI5" s="6">
        <v>3</v>
      </c>
      <c r="BJ5" s="6">
        <v>1</v>
      </c>
      <c r="BK5" s="6" t="s">
        <v>8</v>
      </c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 t="s">
        <v>8</v>
      </c>
      <c r="CC5" s="6"/>
      <c r="CD5" s="6"/>
      <c r="CE5" s="6" t="s">
        <v>8</v>
      </c>
      <c r="CF5" s="6"/>
      <c r="CG5" s="6"/>
      <c r="CH5" s="6" t="s">
        <v>8</v>
      </c>
      <c r="CI5" s="6"/>
      <c r="CJ5" s="6" t="s">
        <v>8</v>
      </c>
      <c r="CK5" s="6"/>
      <c r="CL5" s="6" t="s">
        <v>8</v>
      </c>
      <c r="CM5" s="6"/>
      <c r="CN5" s="6" t="s">
        <v>8</v>
      </c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 t="s">
        <v>8</v>
      </c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s="6" customFormat="1">
      <c r="A6" s="6" t="str">
        <f>HYPERLINK(".\links\pep\TI-446-pep.txt","TI-446")</f>
        <v>TI-446</v>
      </c>
      <c r="B6" s="6">
        <v>446</v>
      </c>
      <c r="C6" s="6" t="s">
        <v>24</v>
      </c>
      <c r="D6" s="6">
        <v>16</v>
      </c>
      <c r="E6" s="6">
        <v>0</v>
      </c>
      <c r="F6" s="6" t="str">
        <f>HYPERLINK(".\links\cds\TI-446-cds.txt","TI-446")</f>
        <v>TI-446</v>
      </c>
      <c r="G6" s="6">
        <v>51</v>
      </c>
      <c r="I6" s="6" t="s">
        <v>8</v>
      </c>
      <c r="J6" s="6" t="s">
        <v>6</v>
      </c>
      <c r="K6" s="6">
        <v>0</v>
      </c>
      <c r="L6" s="6">
        <v>1</v>
      </c>
      <c r="M6" s="6">
        <f t="shared" si="0"/>
        <v>1</v>
      </c>
      <c r="N6" s="6" t="s">
        <v>1170</v>
      </c>
      <c r="O6" s="6" t="s">
        <v>1171</v>
      </c>
      <c r="S6" s="6" t="s">
        <v>8</v>
      </c>
      <c r="AJ6" s="6" t="s">
        <v>8</v>
      </c>
      <c r="AX6" s="6" t="s">
        <v>8</v>
      </c>
      <c r="BK6" s="6" t="s">
        <v>8</v>
      </c>
      <c r="CB6" s="6" t="s">
        <v>8</v>
      </c>
      <c r="CE6" s="6" t="s">
        <v>8</v>
      </c>
      <c r="CH6" s="6" t="s">
        <v>8</v>
      </c>
      <c r="CJ6" s="6" t="s">
        <v>8</v>
      </c>
      <c r="CL6" s="6" t="s">
        <v>8</v>
      </c>
      <c r="CN6" s="6" t="s">
        <v>8</v>
      </c>
      <c r="DB6" s="6" t="s">
        <v>8</v>
      </c>
    </row>
    <row r="7" spans="1:119" s="6" customFormat="1">
      <c r="A7" t="str">
        <f>HYPERLINK(".\links\pep\TI-429-pep.txt","TI-429")</f>
        <v>TI-429</v>
      </c>
      <c r="B7">
        <v>429</v>
      </c>
      <c r="C7" t="s">
        <v>22</v>
      </c>
      <c r="D7">
        <v>57</v>
      </c>
      <c r="E7">
        <v>0</v>
      </c>
      <c r="F7" t="str">
        <f>HYPERLINK(".\links\cds\TI-429-cds.txt","TI-429")</f>
        <v>TI-429</v>
      </c>
      <c r="G7">
        <v>174</v>
      </c>
      <c r="H7"/>
      <c r="I7" t="s">
        <v>8</v>
      </c>
      <c r="J7" t="s">
        <v>6</v>
      </c>
      <c r="K7">
        <v>2</v>
      </c>
      <c r="L7">
        <v>3</v>
      </c>
      <c r="M7">
        <f t="shared" si="0"/>
        <v>1</v>
      </c>
      <c r="N7" t="s">
        <v>1331</v>
      </c>
      <c r="O7" t="s">
        <v>1185</v>
      </c>
      <c r="P7" t="str">
        <f>HYPERLINK(".\links\NR-LIGHT\TI-429-NR-LIGHT.txt","NR-LIGHT")</f>
        <v>NR-LIGHT</v>
      </c>
      <c r="Q7">
        <v>8.0000000000000005E-9</v>
      </c>
      <c r="R7">
        <v>25.5</v>
      </c>
      <c r="S7" t="str">
        <f>HYPERLINK(".\links\NR-LIGHT\TI-429-NR-LIGHT.txt","cytochrome oxidase subunit 2")</f>
        <v>cytochrome oxidase subunit 2</v>
      </c>
      <c r="T7" t="str">
        <f>HYPERLINK("http://www.ncbi.nlm.nih.gov/sutils/blink.cgi?pid=149689096","8E-009")</f>
        <v>8E-009</v>
      </c>
      <c r="U7" t="str">
        <f>HYPERLINK("http://www.ncbi.nlm.nih.gov/protein/149689096","gi|149689096")</f>
        <v>gi|149689096</v>
      </c>
      <c r="V7">
        <v>61.2</v>
      </c>
      <c r="W7">
        <v>56</v>
      </c>
      <c r="X7">
        <v>223</v>
      </c>
      <c r="Y7">
        <v>56</v>
      </c>
      <c r="Z7">
        <v>26</v>
      </c>
      <c r="AA7">
        <v>25</v>
      </c>
      <c r="AB7">
        <v>0</v>
      </c>
      <c r="AC7">
        <v>5</v>
      </c>
      <c r="AD7">
        <v>1</v>
      </c>
      <c r="AE7">
        <v>1</v>
      </c>
      <c r="AF7"/>
      <c r="AG7" t="s">
        <v>13</v>
      </c>
      <c r="AH7" t="s">
        <v>51</v>
      </c>
      <c r="AI7" t="s">
        <v>273</v>
      </c>
      <c r="AJ7" t="str">
        <f>HYPERLINK(".\links\SWISSP\TI-429-SWISSP.txt","Cytochrome c oxidase subunit 2 OS=Anopheles quadrimaculatus GN=COXII PE=3 SV=1")</f>
        <v>Cytochrome c oxidase subunit 2 OS=Anopheles quadrimaculatus GN=COXII PE=3 SV=1</v>
      </c>
      <c r="AK7" t="str">
        <f>HYPERLINK("http://www.uniprot.org/uniprot/P33505","2E-006")</f>
        <v>2E-006</v>
      </c>
      <c r="AL7" t="s">
        <v>223</v>
      </c>
      <c r="AM7">
        <v>51.2</v>
      </c>
      <c r="AN7">
        <v>56</v>
      </c>
      <c r="AO7">
        <v>228</v>
      </c>
      <c r="AP7">
        <v>43</v>
      </c>
      <c r="AQ7">
        <v>25</v>
      </c>
      <c r="AR7">
        <v>32</v>
      </c>
      <c r="AS7">
        <v>0</v>
      </c>
      <c r="AT7">
        <v>8</v>
      </c>
      <c r="AU7">
        <v>1</v>
      </c>
      <c r="AV7">
        <v>1</v>
      </c>
      <c r="AW7" t="s">
        <v>143</v>
      </c>
      <c r="AX7" t="s">
        <v>8</v>
      </c>
      <c r="AY7"/>
      <c r="AZ7"/>
      <c r="BA7"/>
      <c r="BB7"/>
      <c r="BC7"/>
      <c r="BD7"/>
      <c r="BE7"/>
      <c r="BF7"/>
      <c r="BG7"/>
      <c r="BH7"/>
      <c r="BI7"/>
      <c r="BJ7"/>
      <c r="BK7" t="s">
        <v>888</v>
      </c>
      <c r="BL7">
        <f>HYPERLINK(".\links\GO\TI-429-GO.txt",0.001)</f>
        <v>1E-3</v>
      </c>
      <c r="BM7" t="s">
        <v>841</v>
      </c>
      <c r="BN7" t="s">
        <v>319</v>
      </c>
      <c r="BO7" t="s">
        <v>320</v>
      </c>
      <c r="BP7" t="s">
        <v>842</v>
      </c>
      <c r="BQ7">
        <v>1E-3</v>
      </c>
      <c r="BR7" t="s">
        <v>608</v>
      </c>
      <c r="BS7" t="s">
        <v>323</v>
      </c>
      <c r="BT7" t="s">
        <v>334</v>
      </c>
      <c r="BU7" t="s">
        <v>609</v>
      </c>
      <c r="BV7">
        <v>1E-3</v>
      </c>
      <c r="BW7" t="s">
        <v>845</v>
      </c>
      <c r="BX7" t="s">
        <v>319</v>
      </c>
      <c r="BY7" t="s">
        <v>320</v>
      </c>
      <c r="BZ7" t="s">
        <v>846</v>
      </c>
      <c r="CA7">
        <v>1E-3</v>
      </c>
      <c r="CB7" t="s">
        <v>8</v>
      </c>
      <c r="CC7"/>
      <c r="CD7"/>
      <c r="CE7" t="s">
        <v>8</v>
      </c>
      <c r="CF7"/>
      <c r="CG7"/>
      <c r="CH7" t="s">
        <v>8</v>
      </c>
      <c r="CI7"/>
      <c r="CJ7" t="s">
        <v>8</v>
      </c>
      <c r="CK7"/>
      <c r="CL7" t="s">
        <v>8</v>
      </c>
      <c r="CM7"/>
      <c r="CN7" t="str">
        <f>HYPERLINK(".\links\MIT-PLA\TI-429-MIT-PLA.txt","Triatoma infestans clone TI-43 cytochrome oxidase subunit 2 mRNA, complete cds;")</f>
        <v>Triatoma infestans clone TI-43 cytochrome oxidase subunit 2 mRNA, complete cds;</v>
      </c>
      <c r="CO7" t="str">
        <f>HYPERLINK("http://www.ncbi.nlm.nih.gov/entrez/viewer.fcgi?db=nucleotide&amp;val=149689095","4E-065")</f>
        <v>4E-065</v>
      </c>
      <c r="CP7" t="str">
        <f>HYPERLINK("http://www.ncbi.nlm.nih.gov/entrez/viewer.fcgi?db=nucleotide&amp;val=149689095","gi|149689095")</f>
        <v>gi|149689095</v>
      </c>
      <c r="CQ7">
        <v>242</v>
      </c>
      <c r="CR7">
        <v>173</v>
      </c>
      <c r="CS7">
        <v>672</v>
      </c>
      <c r="CT7">
        <v>92</v>
      </c>
      <c r="CU7">
        <v>26</v>
      </c>
      <c r="CV7">
        <v>13</v>
      </c>
      <c r="CW7">
        <v>0</v>
      </c>
      <c r="CX7">
        <v>13</v>
      </c>
      <c r="CY7">
        <v>1</v>
      </c>
      <c r="CZ7">
        <v>1</v>
      </c>
      <c r="DA7" t="s">
        <v>51</v>
      </c>
      <c r="DB7" t="s">
        <v>8</v>
      </c>
      <c r="DC7"/>
      <c r="DD7"/>
      <c r="DE7"/>
      <c r="DF7"/>
      <c r="DG7"/>
      <c r="DH7"/>
      <c r="DI7"/>
      <c r="DJ7"/>
      <c r="DK7"/>
      <c r="DL7"/>
      <c r="DM7"/>
      <c r="DN7"/>
      <c r="DO7"/>
    </row>
    <row r="8" spans="1:119" s="6" customFormat="1">
      <c r="A8" t="str">
        <f>HYPERLINK(".\links\pep\TI-426-pep.txt","TI-426")</f>
        <v>TI-426</v>
      </c>
      <c r="B8">
        <v>426</v>
      </c>
      <c r="C8" t="s">
        <v>19</v>
      </c>
      <c r="D8">
        <v>73</v>
      </c>
      <c r="E8">
        <v>0</v>
      </c>
      <c r="F8" t="str">
        <f>HYPERLINK(".\links\cds\TI-426-cds.txt","TI-426")</f>
        <v>TI-426</v>
      </c>
      <c r="G8">
        <v>222</v>
      </c>
      <c r="H8"/>
      <c r="I8" t="s">
        <v>8</v>
      </c>
      <c r="J8" t="s">
        <v>6</v>
      </c>
      <c r="K8">
        <v>2</v>
      </c>
      <c r="L8">
        <v>2</v>
      </c>
      <c r="M8">
        <f t="shared" si="0"/>
        <v>0</v>
      </c>
      <c r="N8" t="s">
        <v>1227</v>
      </c>
      <c r="O8" t="s">
        <v>1196</v>
      </c>
      <c r="P8" t="str">
        <f>HYPERLINK(".\links\NR-LIGHT\TI-426-NR-LIGHT.txt","NR-LIGHT")</f>
        <v>NR-LIGHT</v>
      </c>
      <c r="Q8" s="3">
        <v>2.9999999999999998E-31</v>
      </c>
      <c r="R8">
        <v>8.4</v>
      </c>
      <c r="S8" t="str">
        <f>HYPERLINK(".\links\NR-LIGHT\TI-426-NR-LIGHT.txt","capsid protein precursor")</f>
        <v>capsid protein precursor</v>
      </c>
      <c r="T8" t="str">
        <f>HYPERLINK("http://www.ncbi.nlm.nih.gov/sutils/blink.cgi?pid=20451030","3E-031")</f>
        <v>3E-031</v>
      </c>
      <c r="U8" t="str">
        <f>HYPERLINK("http://www.ncbi.nlm.nih.gov/protein/20451030","gi|20451030")</f>
        <v>gi|20451030</v>
      </c>
      <c r="V8">
        <v>135</v>
      </c>
      <c r="W8">
        <v>72</v>
      </c>
      <c r="X8">
        <v>868</v>
      </c>
      <c r="Y8">
        <v>95</v>
      </c>
      <c r="Z8">
        <v>8</v>
      </c>
      <c r="AA8">
        <v>3</v>
      </c>
      <c r="AB8">
        <v>0</v>
      </c>
      <c r="AC8">
        <v>796</v>
      </c>
      <c r="AD8">
        <v>1</v>
      </c>
      <c r="AE8">
        <v>1</v>
      </c>
      <c r="AF8"/>
      <c r="AG8" t="s">
        <v>13</v>
      </c>
      <c r="AH8" t="s">
        <v>51</v>
      </c>
      <c r="AI8" t="s">
        <v>269</v>
      </c>
      <c r="AJ8" t="s">
        <v>8</v>
      </c>
      <c r="AK8"/>
      <c r="AL8"/>
      <c r="AM8"/>
      <c r="AN8"/>
      <c r="AO8"/>
      <c r="AP8"/>
      <c r="AQ8"/>
      <c r="AR8"/>
      <c r="AS8"/>
      <c r="AT8"/>
      <c r="AU8"/>
      <c r="AV8"/>
      <c r="AW8"/>
      <c r="AX8" t="s">
        <v>8</v>
      </c>
      <c r="AY8"/>
      <c r="AZ8"/>
      <c r="BA8"/>
      <c r="BB8"/>
      <c r="BC8"/>
      <c r="BD8"/>
      <c r="BE8"/>
      <c r="BF8"/>
      <c r="BG8"/>
      <c r="BH8"/>
      <c r="BI8"/>
      <c r="BJ8"/>
      <c r="BK8" t="s">
        <v>8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 t="s">
        <v>8</v>
      </c>
      <c r="CC8"/>
      <c r="CD8"/>
      <c r="CE8" t="s">
        <v>8</v>
      </c>
      <c r="CF8"/>
      <c r="CG8"/>
      <c r="CH8" t="s">
        <v>8</v>
      </c>
      <c r="CI8"/>
      <c r="CJ8" t="s">
        <v>8</v>
      </c>
      <c r="CK8"/>
      <c r="CL8" t="s">
        <v>8</v>
      </c>
      <c r="CM8"/>
      <c r="CN8" t="s">
        <v>8</v>
      </c>
      <c r="CO8"/>
      <c r="CP8"/>
      <c r="CQ8"/>
      <c r="CR8"/>
      <c r="CS8"/>
      <c r="CT8"/>
      <c r="CU8"/>
      <c r="CV8"/>
      <c r="CW8"/>
      <c r="CX8"/>
      <c r="CY8"/>
      <c r="CZ8"/>
      <c r="DA8"/>
      <c r="DB8" t="s">
        <v>8</v>
      </c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s="6" customFormat="1">
      <c r="A9" s="6" t="str">
        <f>HYPERLINK(".\links\pep\TI-425-pep.txt","TI-425")</f>
        <v>TI-425</v>
      </c>
      <c r="B9" s="6">
        <v>425</v>
      </c>
      <c r="C9" s="6" t="s">
        <v>13</v>
      </c>
      <c r="D9" s="6">
        <v>211</v>
      </c>
      <c r="E9" s="6">
        <v>0</v>
      </c>
      <c r="F9" s="6" t="str">
        <f>HYPERLINK(".\links\cds\TI-425-cds.txt","TI-425")</f>
        <v>TI-425</v>
      </c>
      <c r="G9" s="6">
        <v>636</v>
      </c>
      <c r="I9" s="6" t="s">
        <v>8</v>
      </c>
      <c r="J9" s="6" t="s">
        <v>6</v>
      </c>
      <c r="K9" s="6">
        <v>3</v>
      </c>
      <c r="L9" s="6">
        <v>3</v>
      </c>
      <c r="M9" s="6">
        <f t="shared" si="0"/>
        <v>0</v>
      </c>
      <c r="N9" s="6" t="s">
        <v>1170</v>
      </c>
      <c r="O9" s="6" t="s">
        <v>1171</v>
      </c>
      <c r="S9" s="6" t="str">
        <f>HYPERLINK(".\links\NR-LIGHT\TI-425-NR-LIGHT.txt","late embryogenesis abundant domain-containing protein, putative")</f>
        <v>late embryogenesis abundant domain-containing protein, putative</v>
      </c>
      <c r="T9" s="6" t="str">
        <f>HYPERLINK("http://www.ncbi.nlm.nih.gov/sutils/blink.cgi?pid=221485238","3.6")</f>
        <v>3.6</v>
      </c>
      <c r="U9" s="6" t="str">
        <f>HYPERLINK("http://www.ncbi.nlm.nih.gov/protein/221485238","gi|221485238")</f>
        <v>gi|221485238</v>
      </c>
      <c r="V9" s="6">
        <v>33.9</v>
      </c>
      <c r="W9" s="6">
        <v>58</v>
      </c>
      <c r="X9" s="6">
        <v>517</v>
      </c>
      <c r="Y9" s="6">
        <v>31</v>
      </c>
      <c r="Z9" s="6">
        <v>11</v>
      </c>
      <c r="AA9" s="6">
        <v>43</v>
      </c>
      <c r="AB9" s="6">
        <v>4</v>
      </c>
      <c r="AC9" s="6">
        <v>431</v>
      </c>
      <c r="AD9" s="6">
        <v>90</v>
      </c>
      <c r="AE9" s="6">
        <v>1</v>
      </c>
      <c r="AG9" s="6" t="s">
        <v>13</v>
      </c>
      <c r="AH9" s="6" t="s">
        <v>51</v>
      </c>
      <c r="AI9" s="6" t="s">
        <v>299</v>
      </c>
      <c r="AJ9" s="6" t="s">
        <v>8</v>
      </c>
      <c r="AX9" s="6" t="str">
        <f>HYPERLINK(".\links\PREV-RHOD-PEP\TI-425-PREV-RHOD-PEP.txt","Contig7471_2")</f>
        <v>Contig7471_2</v>
      </c>
      <c r="AY9" s="8">
        <v>6.0000000000000003E-55</v>
      </c>
      <c r="AZ9" s="6" t="s">
        <v>1069</v>
      </c>
      <c r="BA9" s="6">
        <v>209</v>
      </c>
      <c r="BB9" s="6">
        <v>189</v>
      </c>
      <c r="BC9" s="6">
        <v>410</v>
      </c>
      <c r="BD9" s="6">
        <v>55</v>
      </c>
      <c r="BE9" s="6">
        <v>46</v>
      </c>
      <c r="BF9" s="6">
        <v>85</v>
      </c>
      <c r="BG9" s="6">
        <v>4</v>
      </c>
      <c r="BH9" s="6">
        <v>141</v>
      </c>
      <c r="BI9" s="6">
        <v>2</v>
      </c>
      <c r="BJ9" s="6">
        <v>1</v>
      </c>
      <c r="BK9" s="6" t="s">
        <v>8</v>
      </c>
      <c r="CB9" s="6" t="s">
        <v>8</v>
      </c>
      <c r="CE9" s="6" t="s">
        <v>8</v>
      </c>
      <c r="CH9" s="6" t="s">
        <v>8</v>
      </c>
      <c r="CJ9" s="6" t="s">
        <v>8</v>
      </c>
      <c r="CL9" s="6" t="s">
        <v>8</v>
      </c>
      <c r="CN9" s="6" t="s">
        <v>8</v>
      </c>
      <c r="DB9" s="6" t="s">
        <v>8</v>
      </c>
    </row>
    <row r="10" spans="1:119" s="6" customFormat="1">
      <c r="A10" s="6" t="str">
        <f>HYPERLINK(".\links\pep\TI-412-pep.txt","TI-412")</f>
        <v>TI-412</v>
      </c>
      <c r="B10" s="6">
        <v>412</v>
      </c>
      <c r="C10" s="6" t="s">
        <v>7</v>
      </c>
      <c r="D10" s="6">
        <v>208</v>
      </c>
      <c r="E10" s="6">
        <v>0</v>
      </c>
      <c r="F10" s="6" t="str">
        <f>HYPERLINK(".\links\cds\TI-412-cds.txt","TI-412")</f>
        <v>TI-412</v>
      </c>
      <c r="G10" s="6">
        <v>627</v>
      </c>
      <c r="I10" s="6" t="s">
        <v>29</v>
      </c>
      <c r="J10" s="6" t="s">
        <v>6</v>
      </c>
      <c r="K10" s="6">
        <v>1</v>
      </c>
      <c r="L10" s="6">
        <v>1</v>
      </c>
      <c r="M10" s="6">
        <f t="shared" si="0"/>
        <v>0</v>
      </c>
      <c r="N10" s="6" t="s">
        <v>1170</v>
      </c>
      <c r="O10" s="6" t="s">
        <v>1171</v>
      </c>
      <c r="S10" s="6" t="str">
        <f>HYPERLINK(".\links\NR-LIGHT\TI-412-NR-LIGHT.txt","Bombyrin")</f>
        <v>Bombyrin</v>
      </c>
      <c r="T10" s="6" t="str">
        <f>HYPERLINK("http://www.ncbi.nlm.nih.gov/sutils/blink.cgi?pid=112983654","5E-008")</f>
        <v>5E-008</v>
      </c>
      <c r="U10" s="6" t="str">
        <f>HYPERLINK("http://www.ncbi.nlm.nih.gov/protein/112983654","gi|112983654")</f>
        <v>gi|112983654</v>
      </c>
      <c r="V10" s="6">
        <v>60.1</v>
      </c>
      <c r="W10" s="6">
        <v>159</v>
      </c>
      <c r="X10" s="6">
        <v>201</v>
      </c>
      <c r="Y10" s="6">
        <v>28</v>
      </c>
      <c r="Z10" s="6">
        <v>80</v>
      </c>
      <c r="AA10" s="6">
        <v>119</v>
      </c>
      <c r="AB10" s="6">
        <v>11</v>
      </c>
      <c r="AC10" s="6">
        <v>20</v>
      </c>
      <c r="AD10" s="6">
        <v>33</v>
      </c>
      <c r="AE10" s="6">
        <v>1</v>
      </c>
      <c r="AG10" s="6" t="s">
        <v>13</v>
      </c>
      <c r="AH10" s="6" t="s">
        <v>51</v>
      </c>
      <c r="AI10" s="6" t="s">
        <v>54</v>
      </c>
      <c r="AJ10" s="6" t="str">
        <f>HYPERLINK(".\links\SWISSP\TI-412-SWISSP.txt","Apolipoprotein D OS=Macaca fascicularis GN=APOD PE=2 SV=1")</f>
        <v>Apolipoprotein D OS=Macaca fascicularis GN=APOD PE=2 SV=1</v>
      </c>
      <c r="AK10" s="6" t="str">
        <f>HYPERLINK("http://www.uniprot.org/uniprot/Q8SPI0","4E-005")</f>
        <v>4E-005</v>
      </c>
      <c r="AL10" s="6" t="s">
        <v>219</v>
      </c>
      <c r="AM10" s="6">
        <v>48.1</v>
      </c>
      <c r="AN10" s="6">
        <v>163</v>
      </c>
      <c r="AO10" s="6">
        <v>189</v>
      </c>
      <c r="AP10" s="6">
        <v>29</v>
      </c>
      <c r="AQ10" s="6">
        <v>87</v>
      </c>
      <c r="AR10" s="6">
        <v>125</v>
      </c>
      <c r="AS10" s="6">
        <v>20</v>
      </c>
      <c r="AT10" s="6">
        <v>23</v>
      </c>
      <c r="AU10" s="6">
        <v>31</v>
      </c>
      <c r="AV10" s="6">
        <v>1</v>
      </c>
      <c r="AW10" s="6" t="s">
        <v>220</v>
      </c>
      <c r="AX10" s="6" t="str">
        <f>HYPERLINK(".\links\PREV-RHOD-PEP\TI-412-PREV-RHOD-PEP.txt","Contig17512_3")</f>
        <v>Contig17512_3</v>
      </c>
      <c r="AY10" s="8">
        <v>5.9999999999999997E-75</v>
      </c>
      <c r="AZ10" s="6" t="s">
        <v>1133</v>
      </c>
      <c r="BA10" s="6">
        <v>276</v>
      </c>
      <c r="BB10" s="6">
        <v>195</v>
      </c>
      <c r="BC10" s="6">
        <v>206</v>
      </c>
      <c r="BD10" s="6">
        <v>64</v>
      </c>
      <c r="BE10" s="6">
        <v>95</v>
      </c>
      <c r="BF10" s="6">
        <v>70</v>
      </c>
      <c r="BG10" s="6">
        <v>3</v>
      </c>
      <c r="BH10" s="6">
        <v>11</v>
      </c>
      <c r="BI10" s="6">
        <v>10</v>
      </c>
      <c r="BJ10" s="6">
        <v>1</v>
      </c>
      <c r="BK10" s="6" t="s">
        <v>880</v>
      </c>
      <c r="BL10" s="6">
        <f>HYPERLINK(".\links\GO\TI-412-GO.txt",0.0002)</f>
        <v>2.0000000000000001E-4</v>
      </c>
      <c r="BM10" s="6" t="s">
        <v>340</v>
      </c>
      <c r="BN10" s="6" t="s">
        <v>340</v>
      </c>
      <c r="BP10" s="6" t="s">
        <v>881</v>
      </c>
      <c r="BQ10" s="6">
        <v>2.0000000000000001E-4</v>
      </c>
      <c r="BR10" s="6" t="s">
        <v>861</v>
      </c>
      <c r="BS10" s="6" t="s">
        <v>501</v>
      </c>
      <c r="BT10" s="6" t="s">
        <v>752</v>
      </c>
      <c r="BU10" s="6" t="s">
        <v>862</v>
      </c>
      <c r="BV10" s="6">
        <v>2.0000000000000001E-4</v>
      </c>
      <c r="BW10" s="6" t="s">
        <v>628</v>
      </c>
      <c r="BX10" s="6" t="s">
        <v>340</v>
      </c>
      <c r="BZ10" s="6" t="s">
        <v>629</v>
      </c>
      <c r="CA10" s="6">
        <v>2.0000000000000001E-4</v>
      </c>
      <c r="CB10" s="6" t="s">
        <v>8</v>
      </c>
      <c r="CE10" s="6" t="s">
        <v>8</v>
      </c>
      <c r="CH10" s="6" t="s">
        <v>8</v>
      </c>
      <c r="CJ10" s="6" t="s">
        <v>8</v>
      </c>
      <c r="CL10" s="6" t="s">
        <v>8</v>
      </c>
      <c r="CN10" s="6" t="s">
        <v>8</v>
      </c>
      <c r="DB10" s="6" t="s">
        <v>8</v>
      </c>
    </row>
    <row r="11" spans="1:119" s="6" customFormat="1">
      <c r="A11" s="6" t="str">
        <f>HYPERLINK(".\links\pep\TI-288-pep.txt","TI-288")</f>
        <v>TI-288</v>
      </c>
      <c r="B11" s="6">
        <v>288</v>
      </c>
      <c r="C11" s="6" t="s">
        <v>19</v>
      </c>
      <c r="D11" s="6">
        <v>210</v>
      </c>
      <c r="E11" s="6">
        <v>0</v>
      </c>
      <c r="F11" s="6" t="str">
        <f>HYPERLINK(".\links\cds\TI-288-cds.txt","TI-288")</f>
        <v>TI-288</v>
      </c>
      <c r="G11" s="6">
        <v>633</v>
      </c>
      <c r="I11" s="6" t="s">
        <v>8</v>
      </c>
      <c r="J11" s="6" t="s">
        <v>6</v>
      </c>
      <c r="K11" s="6">
        <v>1</v>
      </c>
      <c r="L11" s="6">
        <v>1</v>
      </c>
      <c r="M11" s="6">
        <f t="shared" si="0"/>
        <v>0</v>
      </c>
      <c r="N11" s="6" t="s">
        <v>1170</v>
      </c>
      <c r="O11" s="6" t="s">
        <v>1171</v>
      </c>
      <c r="S11" s="6" t="str">
        <f>HYPERLINK(".\links\NR-LIGHT\TI-288-NR-LIGHT.txt","hypothetical protein C41A3.1")</f>
        <v>hypothetical protein C41A3.1</v>
      </c>
      <c r="T11" s="6" t="str">
        <f>HYPERLINK("http://www.ncbi.nlm.nih.gov/sutils/blink.cgi?pid=17550940","0.43")</f>
        <v>0.43</v>
      </c>
      <c r="U11" s="6" t="str">
        <f>HYPERLINK("http://www.ncbi.nlm.nih.gov/protein/17550940","gi|17550940")</f>
        <v>gi|17550940</v>
      </c>
      <c r="V11" s="6">
        <v>37</v>
      </c>
      <c r="W11" s="6">
        <v>78</v>
      </c>
      <c r="X11" s="6">
        <v>7829</v>
      </c>
      <c r="Y11" s="6">
        <v>31</v>
      </c>
      <c r="Z11" s="6">
        <v>1</v>
      </c>
      <c r="AA11" s="6">
        <v>56</v>
      </c>
      <c r="AB11" s="6">
        <v>4</v>
      </c>
      <c r="AC11" s="6">
        <v>4592</v>
      </c>
      <c r="AD11" s="6">
        <v>83</v>
      </c>
      <c r="AE11" s="6">
        <v>1</v>
      </c>
      <c r="AG11" s="6" t="s">
        <v>13</v>
      </c>
      <c r="AH11" s="6" t="s">
        <v>51</v>
      </c>
      <c r="AI11" s="6" t="s">
        <v>290</v>
      </c>
      <c r="AJ11" s="6" t="s">
        <v>8</v>
      </c>
      <c r="AX11" s="6" t="str">
        <f>HYPERLINK(".\links\PREV-RHOD-PEP\TI-288-PREV-RHOD-PEP.txt","Contig7471_2")</f>
        <v>Contig7471_2</v>
      </c>
      <c r="AY11" s="8">
        <v>1E-50</v>
      </c>
      <c r="AZ11" s="6" t="s">
        <v>1069</v>
      </c>
      <c r="BA11" s="6">
        <v>195</v>
      </c>
      <c r="BB11" s="6">
        <v>186</v>
      </c>
      <c r="BC11" s="6">
        <v>410</v>
      </c>
      <c r="BD11" s="6">
        <v>51</v>
      </c>
      <c r="BE11" s="6">
        <v>46</v>
      </c>
      <c r="BF11" s="6">
        <v>91</v>
      </c>
      <c r="BG11" s="6">
        <v>0</v>
      </c>
      <c r="BH11" s="6">
        <v>143</v>
      </c>
      <c r="BI11" s="6">
        <v>12</v>
      </c>
      <c r="BJ11" s="6">
        <v>1</v>
      </c>
      <c r="BK11" s="6" t="s">
        <v>8</v>
      </c>
      <c r="CB11" s="6" t="s">
        <v>8</v>
      </c>
      <c r="CE11" s="6" t="s">
        <v>8</v>
      </c>
      <c r="CH11" s="6" t="s">
        <v>8</v>
      </c>
      <c r="CJ11" s="6" t="s">
        <v>8</v>
      </c>
      <c r="CL11" s="6" t="s">
        <v>8</v>
      </c>
      <c r="CN11" s="6" t="s">
        <v>8</v>
      </c>
      <c r="DB11" s="6" t="s">
        <v>8</v>
      </c>
    </row>
    <row r="12" spans="1:119" s="6" customFormat="1">
      <c r="A12" s="6" t="str">
        <f>HYPERLINK(".\links\pep\TI-264-pep.txt","TI-264")</f>
        <v>TI-264</v>
      </c>
      <c r="B12" s="6">
        <v>264</v>
      </c>
      <c r="C12" s="6" t="s">
        <v>7</v>
      </c>
      <c r="D12" s="6">
        <v>161</v>
      </c>
      <c r="E12" s="6">
        <v>0</v>
      </c>
      <c r="F12" s="6" t="str">
        <f>HYPERLINK(".\links\cds\TI-264-cds.txt","TI-264")</f>
        <v>TI-264</v>
      </c>
      <c r="G12" s="6">
        <v>480</v>
      </c>
      <c r="I12" s="6" t="s">
        <v>29</v>
      </c>
      <c r="J12" s="6" t="s">
        <v>8</v>
      </c>
      <c r="K12" s="6">
        <v>1</v>
      </c>
      <c r="L12" s="6">
        <v>1</v>
      </c>
      <c r="M12" s="6">
        <f t="shared" si="0"/>
        <v>0</v>
      </c>
      <c r="N12" s="6" t="s">
        <v>1170</v>
      </c>
      <c r="O12" s="6" t="s">
        <v>1171</v>
      </c>
      <c r="S12" s="6" t="str">
        <f>HYPERLINK(".\links\NR-LIGHT\TI-264-NR-LIGHT.txt","conserved hypothetical protein")</f>
        <v>conserved hypothetical protein</v>
      </c>
      <c r="T12" s="6" t="str">
        <f>HYPERLINK("http://www.ncbi.nlm.nih.gov/sutils/blink.cgi?pid=170028035","3E-005")</f>
        <v>3E-005</v>
      </c>
      <c r="U12" s="6" t="str">
        <f>HYPERLINK("http://www.ncbi.nlm.nih.gov/protein/170028035","gi|170028035")</f>
        <v>gi|170028035</v>
      </c>
      <c r="V12" s="6">
        <v>50.1</v>
      </c>
      <c r="W12" s="6">
        <v>78</v>
      </c>
      <c r="X12" s="6">
        <v>626</v>
      </c>
      <c r="Y12" s="6">
        <v>32</v>
      </c>
      <c r="Z12" s="6">
        <v>13</v>
      </c>
      <c r="AA12" s="6">
        <v>53</v>
      </c>
      <c r="AB12" s="6">
        <v>4</v>
      </c>
      <c r="AC12" s="6">
        <v>16</v>
      </c>
      <c r="AD12" s="6">
        <v>87</v>
      </c>
      <c r="AE12" s="6">
        <v>1</v>
      </c>
      <c r="AG12" s="6" t="s">
        <v>13</v>
      </c>
      <c r="AH12" s="6" t="s">
        <v>51</v>
      </c>
      <c r="AI12" s="6" t="s">
        <v>263</v>
      </c>
      <c r="AJ12" s="6" t="s">
        <v>8</v>
      </c>
      <c r="AX12" s="6" t="str">
        <f>HYPERLINK(".\links\PREV-RHOD-PEP\TI-264-PREV-RHOD-PEP.txt","Contig10370_3")</f>
        <v>Contig10370_3</v>
      </c>
      <c r="AY12" s="8">
        <v>8.9999999999999995E-51</v>
      </c>
      <c r="AZ12" s="6" t="s">
        <v>1094</v>
      </c>
      <c r="BA12" s="6">
        <v>195</v>
      </c>
      <c r="BB12" s="6">
        <v>127</v>
      </c>
      <c r="BC12" s="6">
        <v>672</v>
      </c>
      <c r="BD12" s="6">
        <v>71</v>
      </c>
      <c r="BE12" s="6">
        <v>19</v>
      </c>
      <c r="BF12" s="6">
        <v>36</v>
      </c>
      <c r="BG12" s="6">
        <v>0</v>
      </c>
      <c r="BH12" s="6">
        <v>3</v>
      </c>
      <c r="BI12" s="6">
        <v>18</v>
      </c>
      <c r="BJ12" s="6">
        <v>1</v>
      </c>
      <c r="BK12" s="6" t="s">
        <v>8</v>
      </c>
      <c r="CB12" s="6" t="s">
        <v>8</v>
      </c>
      <c r="CE12" s="6" t="s">
        <v>8</v>
      </c>
      <c r="CH12" s="6" t="s">
        <v>8</v>
      </c>
      <c r="CJ12" s="6" t="s">
        <v>8</v>
      </c>
      <c r="CL12" s="6" t="s">
        <v>8</v>
      </c>
      <c r="CN12" s="6" t="s">
        <v>8</v>
      </c>
      <c r="DB12" s="6" t="s">
        <v>8</v>
      </c>
    </row>
    <row r="13" spans="1:119" s="6" customFormat="1">
      <c r="A13" s="6" t="str">
        <f>HYPERLINK(".\links\pep\TI-263-pep.txt","TI-263")</f>
        <v>TI-263</v>
      </c>
      <c r="B13" s="6">
        <v>263</v>
      </c>
      <c r="C13" s="6" t="s">
        <v>20</v>
      </c>
      <c r="D13" s="6">
        <v>35</v>
      </c>
      <c r="E13" s="6">
        <v>0</v>
      </c>
      <c r="F13" s="6" t="str">
        <f>HYPERLINK(".\links\cds\TI-263-cds.txt","TI-263")</f>
        <v>TI-263</v>
      </c>
      <c r="G13" s="6">
        <v>108</v>
      </c>
      <c r="I13" s="6" t="s">
        <v>8</v>
      </c>
      <c r="J13" s="6" t="s">
        <v>6</v>
      </c>
      <c r="K13" s="6">
        <v>1</v>
      </c>
      <c r="L13" s="6">
        <v>1</v>
      </c>
      <c r="M13" s="6">
        <f t="shared" si="0"/>
        <v>0</v>
      </c>
      <c r="N13" s="6" t="s">
        <v>1170</v>
      </c>
      <c r="O13" s="6" t="s">
        <v>1171</v>
      </c>
      <c r="S13" s="6" t="s">
        <v>8</v>
      </c>
      <c r="AJ13" s="6" t="s">
        <v>8</v>
      </c>
      <c r="AX13" s="6" t="s">
        <v>8</v>
      </c>
      <c r="BK13" s="6" t="s">
        <v>8</v>
      </c>
      <c r="CB13" s="6" t="s">
        <v>8</v>
      </c>
      <c r="CE13" s="6" t="s">
        <v>8</v>
      </c>
      <c r="CH13" s="6" t="s">
        <v>8</v>
      </c>
      <c r="CJ13" s="6" t="s">
        <v>8</v>
      </c>
      <c r="CL13" s="6" t="s">
        <v>8</v>
      </c>
      <c r="CN13" s="6" t="s">
        <v>8</v>
      </c>
      <c r="DB13" s="6" t="s">
        <v>8</v>
      </c>
    </row>
    <row r="14" spans="1:119" s="6" customFormat="1">
      <c r="A14" s="6" t="str">
        <f>HYPERLINK(".\links\pep\TI-127-pep.txt","TI-127")</f>
        <v>TI-127</v>
      </c>
      <c r="B14" s="6">
        <v>127</v>
      </c>
      <c r="C14" s="6" t="s">
        <v>21</v>
      </c>
      <c r="D14" s="6">
        <v>51</v>
      </c>
      <c r="E14" s="6">
        <v>0</v>
      </c>
      <c r="F14" s="6" t="str">
        <f>HYPERLINK(".\links\cds\TI-127-cds.txt","TI-127")</f>
        <v>TI-127</v>
      </c>
      <c r="G14" s="6">
        <v>156</v>
      </c>
      <c r="I14" s="6" t="s">
        <v>8</v>
      </c>
      <c r="J14" s="6" t="s">
        <v>6</v>
      </c>
      <c r="K14" s="6">
        <v>1</v>
      </c>
      <c r="L14" s="6">
        <v>1</v>
      </c>
      <c r="M14" s="6">
        <f t="shared" si="0"/>
        <v>0</v>
      </c>
      <c r="N14" s="6" t="s">
        <v>1170</v>
      </c>
      <c r="O14" s="6" t="s">
        <v>1171</v>
      </c>
      <c r="S14" s="6" t="s">
        <v>8</v>
      </c>
      <c r="AJ14" s="6" t="s">
        <v>8</v>
      </c>
      <c r="AX14" s="6" t="s">
        <v>8</v>
      </c>
      <c r="BK14" s="6" t="s">
        <v>8</v>
      </c>
      <c r="CB14" s="6" t="s">
        <v>8</v>
      </c>
      <c r="CE14" s="6" t="s">
        <v>8</v>
      </c>
      <c r="CH14" s="6" t="s">
        <v>8</v>
      </c>
      <c r="CJ14" s="6" t="s">
        <v>8</v>
      </c>
      <c r="CL14" s="6" t="s">
        <v>8</v>
      </c>
      <c r="CN14" s="6" t="s">
        <v>8</v>
      </c>
      <c r="DB14" s="6" t="s">
        <v>8</v>
      </c>
    </row>
    <row r="15" spans="1:119" s="6" customFormat="1">
      <c r="A15" s="6" t="str">
        <f>HYPERLINK(".\links\pep\TI-108-pep.txt","TI-108")</f>
        <v>TI-108</v>
      </c>
      <c r="B15" s="6">
        <v>108</v>
      </c>
      <c r="C15" s="6" t="s">
        <v>15</v>
      </c>
      <c r="D15" s="6">
        <v>20</v>
      </c>
      <c r="E15" s="6">
        <v>0</v>
      </c>
      <c r="F15" s="6" t="str">
        <f>HYPERLINK(".\links\cds\TI-108-cds.txt","TI-108")</f>
        <v>TI-108</v>
      </c>
      <c r="G15" s="6">
        <v>63</v>
      </c>
      <c r="I15" s="6" t="s">
        <v>8</v>
      </c>
      <c r="J15" s="6" t="s">
        <v>6</v>
      </c>
      <c r="K15" s="6">
        <v>1</v>
      </c>
      <c r="L15" s="6">
        <v>1</v>
      </c>
      <c r="M15" s="6">
        <f t="shared" si="0"/>
        <v>0</v>
      </c>
      <c r="N15" s="6" t="s">
        <v>1170</v>
      </c>
      <c r="O15" s="6" t="s">
        <v>1171</v>
      </c>
      <c r="S15" s="6" t="s">
        <v>8</v>
      </c>
      <c r="AJ15" s="6" t="s">
        <v>8</v>
      </c>
      <c r="AX15" s="6" t="s">
        <v>8</v>
      </c>
      <c r="BK15" s="6" t="s">
        <v>8</v>
      </c>
      <c r="CB15" s="6" t="s">
        <v>8</v>
      </c>
      <c r="CE15" s="6" t="s">
        <v>8</v>
      </c>
      <c r="CH15" s="6" t="s">
        <v>8</v>
      </c>
      <c r="CJ15" s="6" t="s">
        <v>8</v>
      </c>
      <c r="CL15" s="6" t="s">
        <v>8</v>
      </c>
      <c r="CN15" s="6" t="s">
        <v>8</v>
      </c>
      <c r="DB15" s="6" t="s">
        <v>8</v>
      </c>
    </row>
    <row r="16" spans="1:119" s="6" customFormat="1">
      <c r="A16" t="str">
        <f>HYPERLINK(".\links\pep\TI-102-pep.txt","TI-102")</f>
        <v>TI-102</v>
      </c>
      <c r="B16">
        <v>102</v>
      </c>
      <c r="C16" t="s">
        <v>11</v>
      </c>
      <c r="D16">
        <v>85</v>
      </c>
      <c r="E16">
        <v>0</v>
      </c>
      <c r="F16" t="str">
        <f>HYPERLINK(".\links\cds\TI-102-cds.txt","TI-102")</f>
        <v>TI-102</v>
      </c>
      <c r="G16">
        <v>258</v>
      </c>
      <c r="H16"/>
      <c r="I16" t="s">
        <v>8</v>
      </c>
      <c r="J16" t="s">
        <v>6</v>
      </c>
      <c r="K16">
        <v>1</v>
      </c>
      <c r="L16">
        <v>1</v>
      </c>
      <c r="M16">
        <f t="shared" si="0"/>
        <v>0</v>
      </c>
      <c r="N16" t="s">
        <v>1193</v>
      </c>
      <c r="O16" t="s">
        <v>1175</v>
      </c>
      <c r="P16" t="str">
        <f>HYPERLINK(".\links\NR-LIGHT\TI-102-NR-LIGHT.txt","NR-LIGHT")</f>
        <v>NR-LIGHT</v>
      </c>
      <c r="Q16" s="3">
        <v>6.9999999999999997E-33</v>
      </c>
      <c r="R16">
        <v>76.099999999999994</v>
      </c>
      <c r="S16" t="str">
        <f>HYPERLINK(".\links\NR-LIGHT\TI-102-NR-LIGHT.txt","10 kDa heat shock protein, putative")</f>
        <v>10 kDa heat shock protein, putative</v>
      </c>
      <c r="T16" t="str">
        <f>HYPERLINK("http://www.ncbi.nlm.nih.gov/sutils/blink.cgi?pid=242016119","7E-033")</f>
        <v>7E-033</v>
      </c>
      <c r="U16" t="str">
        <f>HYPERLINK("http://www.ncbi.nlm.nih.gov/protein/242016119","gi|242016119")</f>
        <v>gi|242016119</v>
      </c>
      <c r="V16">
        <v>141</v>
      </c>
      <c r="W16">
        <v>82</v>
      </c>
      <c r="X16">
        <v>109</v>
      </c>
      <c r="Y16">
        <v>80</v>
      </c>
      <c r="Z16">
        <v>76</v>
      </c>
      <c r="AA16">
        <v>16</v>
      </c>
      <c r="AB16">
        <v>0</v>
      </c>
      <c r="AC16">
        <v>27</v>
      </c>
      <c r="AD16">
        <v>2</v>
      </c>
      <c r="AE16">
        <v>1</v>
      </c>
      <c r="AF16"/>
      <c r="AG16" t="s">
        <v>13</v>
      </c>
      <c r="AH16" t="s">
        <v>51</v>
      </c>
      <c r="AI16" t="s">
        <v>268</v>
      </c>
      <c r="AJ16" t="str">
        <f>HYPERLINK(".\links\SWISSP\TI-102-SWISSP.txt","10 kDa heat shock protein, mitochondrial OS=Schistosoma japonicum GN=SJCHGC01960")</f>
        <v>10 kDa heat shock protein, mitochondrial OS=Schistosoma japonicum GN=SJCHGC01960</v>
      </c>
      <c r="AK16" t="str">
        <f>HYPERLINK("http://www.uniprot.org/uniprot/Q5DC69","1E-022")</f>
        <v>1E-022</v>
      </c>
      <c r="AL16" t="s">
        <v>136</v>
      </c>
      <c r="AM16">
        <v>104</v>
      </c>
      <c r="AN16">
        <v>81</v>
      </c>
      <c r="AO16">
        <v>102</v>
      </c>
      <c r="AP16">
        <v>61</v>
      </c>
      <c r="AQ16">
        <v>80</v>
      </c>
      <c r="AR16">
        <v>32</v>
      </c>
      <c r="AS16">
        <v>1</v>
      </c>
      <c r="AT16">
        <v>20</v>
      </c>
      <c r="AU16">
        <v>2</v>
      </c>
      <c r="AV16">
        <v>1</v>
      </c>
      <c r="AW16" t="s">
        <v>137</v>
      </c>
      <c r="AX16" t="str">
        <f>HYPERLINK(".\links\PREV-RHOD-PEP\TI-102-PREV-RHOD-PEP.txt","Contig17588_10")</f>
        <v>Contig17588_10</v>
      </c>
      <c r="AY16" s="3">
        <v>8.0000000000000006E-43</v>
      </c>
      <c r="AZ16" t="s">
        <v>1053</v>
      </c>
      <c r="BA16">
        <v>168</v>
      </c>
      <c r="BB16">
        <v>84</v>
      </c>
      <c r="BC16">
        <v>92</v>
      </c>
      <c r="BD16">
        <v>96</v>
      </c>
      <c r="BE16">
        <v>92</v>
      </c>
      <c r="BF16">
        <v>3</v>
      </c>
      <c r="BG16">
        <v>0</v>
      </c>
      <c r="BH16">
        <v>8</v>
      </c>
      <c r="BI16">
        <v>1</v>
      </c>
      <c r="BJ16">
        <v>1</v>
      </c>
      <c r="BK16" t="s">
        <v>605</v>
      </c>
      <c r="BL16">
        <f>HYPERLINK(".\links\GO\TI-102-GO.txt",3E-23)</f>
        <v>3E-23</v>
      </c>
      <c r="BM16" t="s">
        <v>606</v>
      </c>
      <c r="BN16" t="s">
        <v>340</v>
      </c>
      <c r="BO16" t="s">
        <v>341</v>
      </c>
      <c r="BP16" t="s">
        <v>607</v>
      </c>
      <c r="BQ16" s="3">
        <v>3E-23</v>
      </c>
      <c r="BR16" t="s">
        <v>608</v>
      </c>
      <c r="BS16" t="s">
        <v>323</v>
      </c>
      <c r="BT16" t="s">
        <v>334</v>
      </c>
      <c r="BU16" t="s">
        <v>609</v>
      </c>
      <c r="BV16" s="3">
        <v>3E-23</v>
      </c>
      <c r="BW16" t="s">
        <v>610</v>
      </c>
      <c r="BX16" t="s">
        <v>340</v>
      </c>
      <c r="BY16" t="s">
        <v>341</v>
      </c>
      <c r="BZ16" t="s">
        <v>611</v>
      </c>
      <c r="CA16" s="3">
        <v>3E-23</v>
      </c>
      <c r="CB16" t="s">
        <v>8</v>
      </c>
      <c r="CC16"/>
      <c r="CD16"/>
      <c r="CE16" t="s">
        <v>8</v>
      </c>
      <c r="CF16"/>
      <c r="CG16"/>
      <c r="CH16" t="s">
        <v>8</v>
      </c>
      <c r="CI16"/>
      <c r="CJ16" t="s">
        <v>8</v>
      </c>
      <c r="CK16"/>
      <c r="CL16" t="s">
        <v>8</v>
      </c>
      <c r="CM16"/>
      <c r="CN16" t="s">
        <v>8</v>
      </c>
      <c r="CO16"/>
      <c r="CP16"/>
      <c r="CQ16"/>
      <c r="CR16"/>
      <c r="CS16"/>
      <c r="CT16"/>
      <c r="CU16"/>
      <c r="CV16"/>
      <c r="CW16"/>
      <c r="CX16"/>
      <c r="CY16"/>
      <c r="CZ16"/>
      <c r="DA16"/>
      <c r="DB16" t="s">
        <v>8</v>
      </c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s="6" customFormat="1">
      <c r="A17" s="6" t="str">
        <f>HYPERLINK(".\links\pep\TI-100-pep.txt","TI-100")</f>
        <v>TI-100</v>
      </c>
      <c r="B17" s="6">
        <v>100</v>
      </c>
      <c r="C17" s="6" t="s">
        <v>7</v>
      </c>
      <c r="D17" s="6">
        <v>66</v>
      </c>
      <c r="E17" s="6">
        <v>0</v>
      </c>
      <c r="F17" s="6" t="str">
        <f>HYPERLINK(".\links\cds\TI-100-cds.txt","TI-100")</f>
        <v>TI-100</v>
      </c>
      <c r="G17" s="6">
        <v>201</v>
      </c>
      <c r="I17" s="6" t="s">
        <v>29</v>
      </c>
      <c r="J17" s="6" t="s">
        <v>6</v>
      </c>
      <c r="K17" s="6">
        <v>1</v>
      </c>
      <c r="L17" s="6">
        <v>1</v>
      </c>
      <c r="M17" s="6">
        <f t="shared" si="0"/>
        <v>0</v>
      </c>
      <c r="N17" s="6" t="s">
        <v>1170</v>
      </c>
      <c r="O17" s="6" t="s">
        <v>1171</v>
      </c>
      <c r="S17" s="6" t="str">
        <f>HYPERLINK(".\links\NR-LIGHT\TI-100-NR-LIGHT.txt","hypothetical protein TcasGA2_TC000791")</f>
        <v>hypothetical protein TcasGA2_TC000791</v>
      </c>
      <c r="T17" s="6" t="str">
        <f>HYPERLINK("http://www.ncbi.nlm.nih.gov/sutils/blink.cgi?pid=270001890","0.001")</f>
        <v>0.001</v>
      </c>
      <c r="U17" s="6" t="str">
        <f>HYPERLINK("http://www.ncbi.nlm.nih.gov/protein/270001890","gi|270001890")</f>
        <v>gi|270001890</v>
      </c>
      <c r="V17" s="6">
        <v>44.3</v>
      </c>
      <c r="W17" s="6">
        <v>50</v>
      </c>
      <c r="X17" s="6">
        <v>68</v>
      </c>
      <c r="Y17" s="6">
        <v>44</v>
      </c>
      <c r="Z17" s="6">
        <v>75</v>
      </c>
      <c r="AA17" s="6">
        <v>30</v>
      </c>
      <c r="AB17" s="6">
        <v>5</v>
      </c>
      <c r="AC17" s="6">
        <v>6</v>
      </c>
      <c r="AD17" s="6">
        <v>2</v>
      </c>
      <c r="AE17" s="6">
        <v>1</v>
      </c>
      <c r="AG17" s="6" t="s">
        <v>13</v>
      </c>
      <c r="AH17" s="6" t="s">
        <v>51</v>
      </c>
      <c r="AI17" s="6" t="s">
        <v>266</v>
      </c>
      <c r="AJ17" s="6" t="s">
        <v>8</v>
      </c>
      <c r="AX17" s="6" t="str">
        <f>HYPERLINK(".\links\PREV-RHOD-PEP\TI-100-PREV-RHOD-PEP.txt","Contig18015_38")</f>
        <v>Contig18015_38</v>
      </c>
      <c r="AY17" s="8">
        <v>4.9999999999999999E-29</v>
      </c>
      <c r="AZ17" s="6" t="s">
        <v>1052</v>
      </c>
      <c r="BA17" s="6">
        <v>122</v>
      </c>
      <c r="BB17" s="6">
        <v>65</v>
      </c>
      <c r="BC17" s="6">
        <v>439</v>
      </c>
      <c r="BD17" s="6">
        <v>84</v>
      </c>
      <c r="BE17" s="6">
        <v>15</v>
      </c>
      <c r="BF17" s="6">
        <v>10</v>
      </c>
      <c r="BG17" s="6">
        <v>0</v>
      </c>
      <c r="BH17" s="6">
        <v>371</v>
      </c>
      <c r="BI17" s="6">
        <v>1</v>
      </c>
      <c r="BJ17" s="6">
        <v>1</v>
      </c>
      <c r="BK17" s="6" t="s">
        <v>8</v>
      </c>
      <c r="CB17" s="6" t="s">
        <v>8</v>
      </c>
      <c r="CE17" s="6" t="s">
        <v>8</v>
      </c>
      <c r="CH17" s="6" t="s">
        <v>8</v>
      </c>
      <c r="CJ17" s="6" t="s">
        <v>8</v>
      </c>
      <c r="CL17" s="6" t="s">
        <v>8</v>
      </c>
      <c r="CN17" s="6" t="s">
        <v>8</v>
      </c>
      <c r="DB17" s="6" t="s">
        <v>8</v>
      </c>
    </row>
    <row r="18" spans="1:119" s="6" customFormat="1">
      <c r="A18" s="6" t="str">
        <f>HYPERLINK(".\links\pep\TI-95-pep.txt","TI-95")</f>
        <v>TI-95</v>
      </c>
      <c r="B18" s="6">
        <v>95</v>
      </c>
      <c r="C18" s="6" t="s">
        <v>23</v>
      </c>
      <c r="D18" s="6">
        <v>25</v>
      </c>
      <c r="E18" s="6">
        <v>0</v>
      </c>
      <c r="F18" s="6" t="str">
        <f>HYPERLINK(".\links\cds\TI-95-cds.txt","TI-95")</f>
        <v>TI-95</v>
      </c>
      <c r="G18" s="6">
        <v>78</v>
      </c>
      <c r="I18" s="6" t="s">
        <v>8</v>
      </c>
      <c r="J18" s="6" t="s">
        <v>6</v>
      </c>
      <c r="K18" s="6">
        <v>0</v>
      </c>
      <c r="L18" s="6">
        <v>1</v>
      </c>
      <c r="M18" s="6">
        <f t="shared" si="0"/>
        <v>1</v>
      </c>
      <c r="N18" s="6" t="s">
        <v>1170</v>
      </c>
      <c r="O18" s="6" t="s">
        <v>1171</v>
      </c>
      <c r="S18" s="6" t="s">
        <v>8</v>
      </c>
      <c r="AJ18" s="6" t="s">
        <v>8</v>
      </c>
      <c r="AX18" s="6" t="s">
        <v>8</v>
      </c>
      <c r="BK18" s="6" t="s">
        <v>8</v>
      </c>
      <c r="CB18" s="6" t="s">
        <v>8</v>
      </c>
      <c r="CE18" s="6" t="s">
        <v>8</v>
      </c>
      <c r="CH18" s="6" t="s">
        <v>8</v>
      </c>
      <c r="CJ18" s="6" t="s">
        <v>8</v>
      </c>
      <c r="CL18" s="6" t="s">
        <v>8</v>
      </c>
      <c r="CN18" s="6" t="s">
        <v>8</v>
      </c>
      <c r="DB18" s="6" t="s">
        <v>8</v>
      </c>
    </row>
    <row r="19" spans="1:119" s="6" customFormat="1">
      <c r="A19" t="str">
        <f>HYPERLINK(".\links\pep\TI-9-pep.txt","TI-9")</f>
        <v>TI-9</v>
      </c>
      <c r="B19">
        <v>9</v>
      </c>
      <c r="C19" t="s">
        <v>7</v>
      </c>
      <c r="D19">
        <v>209</v>
      </c>
      <c r="E19">
        <v>0</v>
      </c>
      <c r="F19" t="str">
        <f>HYPERLINK(".\links\cds\TI-9-cds.txt","TI-9")</f>
        <v>TI-9</v>
      </c>
      <c r="G19">
        <v>625</v>
      </c>
      <c r="H19"/>
      <c r="I19" t="s">
        <v>29</v>
      </c>
      <c r="J19" t="s">
        <v>8</v>
      </c>
      <c r="K19">
        <v>0</v>
      </c>
      <c r="L19">
        <v>1</v>
      </c>
      <c r="M19">
        <f t="shared" si="0"/>
        <v>1</v>
      </c>
      <c r="N19" t="s">
        <v>1250</v>
      </c>
      <c r="O19" t="s">
        <v>1178</v>
      </c>
      <c r="P19" t="str">
        <f>HYPERLINK(".\links\NR-LIGHT\TI-9-NR-LIGHT.txt","NR-LIGHT")</f>
        <v>NR-LIGHT</v>
      </c>
      <c r="Q19" s="3">
        <v>1E-89</v>
      </c>
      <c r="R19">
        <v>54.8</v>
      </c>
      <c r="S19" t="str">
        <f>HYPERLINK(".\links\NR-LIGHT\TI-9-NR-LIGHT.txt","4-hydroxyphenylpyruvate dioxygenase")</f>
        <v>4-hydroxyphenylpyruvate dioxygenase</v>
      </c>
      <c r="T19" t="str">
        <f>HYPERLINK("http://www.ncbi.nlm.nih.gov/sutils/blink.cgi?pid=157105932","1E-089")</f>
        <v>1E-089</v>
      </c>
      <c r="U19" t="str">
        <f>HYPERLINK("http://www.ncbi.nlm.nih.gov/protein/157105932","gi|157105932")</f>
        <v>gi|157105932</v>
      </c>
      <c r="V19">
        <v>331</v>
      </c>
      <c r="W19">
        <v>208</v>
      </c>
      <c r="X19">
        <v>381</v>
      </c>
      <c r="Y19">
        <v>73</v>
      </c>
      <c r="Z19">
        <v>55</v>
      </c>
      <c r="AA19">
        <v>56</v>
      </c>
      <c r="AB19">
        <v>0</v>
      </c>
      <c r="AC19">
        <v>1</v>
      </c>
      <c r="AD19">
        <v>1</v>
      </c>
      <c r="AE19">
        <v>1</v>
      </c>
      <c r="AF19"/>
      <c r="AG19" t="s">
        <v>13</v>
      </c>
      <c r="AH19" t="s">
        <v>51</v>
      </c>
      <c r="AI19" t="s">
        <v>76</v>
      </c>
      <c r="AJ19" t="str">
        <f>HYPERLINK(".\links\SWISSP\TI-9-SWISSP.txt","4-hydroxyphenylpyruvate dioxygenase OS=Rattus norvegicus GN=Hpd PE=1 SV=3")</f>
        <v>4-hydroxyphenylpyruvate dioxygenase OS=Rattus norvegicus GN=Hpd PE=1 SV=3</v>
      </c>
      <c r="AK19" t="str">
        <f>HYPERLINK("http://www.uniprot.org/uniprot/P32755","2E-071")</f>
        <v>2E-071</v>
      </c>
      <c r="AL19" t="s">
        <v>112</v>
      </c>
      <c r="AM19">
        <v>268</v>
      </c>
      <c r="AN19">
        <v>208</v>
      </c>
      <c r="AO19">
        <v>393</v>
      </c>
      <c r="AP19">
        <v>59</v>
      </c>
      <c r="AQ19">
        <v>53</v>
      </c>
      <c r="AR19">
        <v>85</v>
      </c>
      <c r="AS19">
        <v>0</v>
      </c>
      <c r="AT19">
        <v>1</v>
      </c>
      <c r="AU19">
        <v>1</v>
      </c>
      <c r="AV19">
        <v>1</v>
      </c>
      <c r="AW19" t="s">
        <v>74</v>
      </c>
      <c r="AX19" t="str">
        <f>HYPERLINK(".\links\PREV-RHOD-PEP\TI-9-PREV-RHOD-PEP.txt","Contig18037_18")</f>
        <v>Contig18037_18</v>
      </c>
      <c r="AY19" s="3">
        <v>2.0000000000000002E-86</v>
      </c>
      <c r="AZ19" t="s">
        <v>1027</v>
      </c>
      <c r="BA19">
        <v>314</v>
      </c>
      <c r="BB19">
        <v>172</v>
      </c>
      <c r="BC19">
        <v>440</v>
      </c>
      <c r="BD19">
        <v>74</v>
      </c>
      <c r="BE19">
        <v>39</v>
      </c>
      <c r="BF19">
        <v>54</v>
      </c>
      <c r="BG19">
        <v>35</v>
      </c>
      <c r="BH19">
        <v>175</v>
      </c>
      <c r="BI19">
        <v>2</v>
      </c>
      <c r="BJ19">
        <v>1</v>
      </c>
      <c r="BK19" t="s">
        <v>523</v>
      </c>
      <c r="BL19">
        <f>HYPERLINK(".\links\GO\TI-9-GO.txt",4E-79)</f>
        <v>4E-79</v>
      </c>
      <c r="BM19" t="s">
        <v>524</v>
      </c>
      <c r="BN19" t="s">
        <v>345</v>
      </c>
      <c r="BO19" t="s">
        <v>368</v>
      </c>
      <c r="BP19" t="s">
        <v>525</v>
      </c>
      <c r="BQ19" s="3">
        <v>6.0000000000000003E-72</v>
      </c>
      <c r="BR19" t="s">
        <v>526</v>
      </c>
      <c r="BS19" t="s">
        <v>323</v>
      </c>
      <c r="BT19" t="s">
        <v>334</v>
      </c>
      <c r="BU19" t="s">
        <v>527</v>
      </c>
      <c r="BV19" s="3">
        <v>6.0000000000000003E-72</v>
      </c>
      <c r="BW19" t="s">
        <v>528</v>
      </c>
      <c r="BX19" t="s">
        <v>345</v>
      </c>
      <c r="BY19" t="s">
        <v>368</v>
      </c>
      <c r="BZ19" t="s">
        <v>529</v>
      </c>
      <c r="CA19" s="3">
        <v>6.0000000000000003E-72</v>
      </c>
      <c r="CB19" t="s">
        <v>8</v>
      </c>
      <c r="CC19"/>
      <c r="CD19"/>
      <c r="CE19" t="s">
        <v>8</v>
      </c>
      <c r="CF19"/>
      <c r="CG19"/>
      <c r="CH19" t="s">
        <v>8</v>
      </c>
      <c r="CI19"/>
      <c r="CJ19" t="s">
        <v>8</v>
      </c>
      <c r="CK19"/>
      <c r="CL19" t="s">
        <v>8</v>
      </c>
      <c r="CM19"/>
      <c r="CN19" t="s">
        <v>8</v>
      </c>
      <c r="CO19"/>
      <c r="CP19"/>
      <c r="CQ19"/>
      <c r="CR19"/>
      <c r="CS19"/>
      <c r="CT19"/>
      <c r="CU19"/>
      <c r="CV19"/>
      <c r="CW19"/>
      <c r="CX19"/>
      <c r="CY19"/>
      <c r="CZ19"/>
      <c r="DA19"/>
      <c r="DB19" t="s">
        <v>8</v>
      </c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s="6" customFormat="1">
      <c r="A20" s="6" t="str">
        <f>HYPERLINK(".\links\pep\TI-89-pep.txt","TI-89")</f>
        <v>TI-89</v>
      </c>
      <c r="B20" s="6">
        <v>89</v>
      </c>
      <c r="C20" s="6" t="s">
        <v>13</v>
      </c>
      <c r="D20" s="6">
        <v>11</v>
      </c>
      <c r="E20" s="6">
        <v>0</v>
      </c>
      <c r="F20" s="6" t="str">
        <f>HYPERLINK(".\links\cds\TI-89-cds.txt","TI-89")</f>
        <v>TI-89</v>
      </c>
      <c r="G20" s="6">
        <v>36</v>
      </c>
      <c r="I20" s="6" t="s">
        <v>8</v>
      </c>
      <c r="J20" s="6" t="s">
        <v>6</v>
      </c>
      <c r="K20" s="6">
        <v>1</v>
      </c>
      <c r="L20" s="6">
        <v>3</v>
      </c>
      <c r="M20" s="6">
        <f t="shared" si="0"/>
        <v>2</v>
      </c>
      <c r="N20" s="6" t="s">
        <v>1170</v>
      </c>
      <c r="O20" s="6" t="s">
        <v>1171</v>
      </c>
      <c r="S20" s="6" t="s">
        <v>8</v>
      </c>
      <c r="AJ20" s="6" t="s">
        <v>8</v>
      </c>
      <c r="AX20" s="6" t="s">
        <v>8</v>
      </c>
      <c r="BK20" s="6" t="s">
        <v>8</v>
      </c>
      <c r="CB20" s="6" t="s">
        <v>8</v>
      </c>
      <c r="CE20" s="6" t="s">
        <v>8</v>
      </c>
      <c r="CH20" s="6" t="s">
        <v>8</v>
      </c>
      <c r="CJ20" s="6" t="s">
        <v>8</v>
      </c>
      <c r="CL20" s="6" t="s">
        <v>8</v>
      </c>
      <c r="CN20" s="6" t="s">
        <v>8</v>
      </c>
      <c r="DB20" s="6" t="s">
        <v>8</v>
      </c>
    </row>
    <row r="21" spans="1:119" s="6" customFormat="1">
      <c r="A21" s="6" t="str">
        <f>HYPERLINK(".\links\pep\TI-84-pep.txt","TI-84")</f>
        <v>TI-84</v>
      </c>
      <c r="B21" s="6">
        <v>84</v>
      </c>
      <c r="C21" s="6" t="s">
        <v>23</v>
      </c>
      <c r="D21" s="6">
        <v>186</v>
      </c>
      <c r="E21" s="6">
        <v>0</v>
      </c>
      <c r="F21" s="6" t="str">
        <f>HYPERLINK(".\links\cds\TI-84-cds.txt","TI-84")</f>
        <v>TI-84</v>
      </c>
      <c r="G21" s="6">
        <v>557</v>
      </c>
      <c r="I21" s="6" t="s">
        <v>8</v>
      </c>
      <c r="J21" s="6" t="s">
        <v>8</v>
      </c>
      <c r="K21" s="6">
        <v>0</v>
      </c>
      <c r="L21" s="6">
        <v>4</v>
      </c>
      <c r="M21" s="6">
        <f t="shared" si="0"/>
        <v>4</v>
      </c>
      <c r="N21" s="6" t="s">
        <v>1170</v>
      </c>
      <c r="O21" s="6" t="s">
        <v>1171</v>
      </c>
      <c r="S21" s="6" t="str">
        <f>HYPERLINK(".\links\NR-LIGHT\TI-84-NR-LIGHT.txt","conserved Plasmodium protein, unknown function")</f>
        <v>conserved Plasmodium protein, unknown function</v>
      </c>
      <c r="T21" s="6" t="str">
        <f>HYPERLINK("http://www.ncbi.nlm.nih.gov/sutils/blink.cgi?pid=124511844","3.4")</f>
        <v>3.4</v>
      </c>
      <c r="U21" s="6" t="str">
        <f>HYPERLINK("http://www.ncbi.nlm.nih.gov/protein/124511844","gi|124511844")</f>
        <v>gi|124511844</v>
      </c>
      <c r="V21" s="6">
        <v>33.5</v>
      </c>
      <c r="W21" s="6">
        <v>56</v>
      </c>
      <c r="X21" s="6">
        <v>2206</v>
      </c>
      <c r="Y21" s="6">
        <v>33</v>
      </c>
      <c r="Z21" s="6">
        <v>3</v>
      </c>
      <c r="AA21" s="6">
        <v>41</v>
      </c>
      <c r="AB21" s="6">
        <v>5</v>
      </c>
      <c r="AC21" s="6">
        <v>649</v>
      </c>
      <c r="AD21" s="6">
        <v>29</v>
      </c>
      <c r="AE21" s="6">
        <v>1</v>
      </c>
      <c r="AG21" s="6" t="s">
        <v>13</v>
      </c>
      <c r="AH21" s="6" t="s">
        <v>51</v>
      </c>
      <c r="AI21" s="6" t="s">
        <v>282</v>
      </c>
      <c r="AJ21" s="6" t="s">
        <v>8</v>
      </c>
      <c r="AX21" s="6" t="str">
        <f>HYPERLINK(".\links\PREV-RHOD-PEP\TI-84-PREV-RHOD-PEP.txt","Contig17527_16")</f>
        <v>Contig17527_16</v>
      </c>
      <c r="AY21" s="8">
        <v>4.0000000000000001E-53</v>
      </c>
      <c r="AZ21" s="6" t="s">
        <v>1049</v>
      </c>
      <c r="BA21" s="6">
        <v>203</v>
      </c>
      <c r="BB21" s="6">
        <v>185</v>
      </c>
      <c r="BC21" s="6">
        <v>500</v>
      </c>
      <c r="BD21" s="6">
        <v>61</v>
      </c>
      <c r="BE21" s="6">
        <v>37</v>
      </c>
      <c r="BF21" s="6">
        <v>71</v>
      </c>
      <c r="BG21" s="6">
        <v>3</v>
      </c>
      <c r="BH21" s="6">
        <v>1</v>
      </c>
      <c r="BI21" s="6">
        <v>4</v>
      </c>
      <c r="BJ21" s="6">
        <v>1</v>
      </c>
      <c r="BK21" s="6" t="s">
        <v>8</v>
      </c>
      <c r="CB21" s="6" t="s">
        <v>8</v>
      </c>
      <c r="CE21" s="6" t="s">
        <v>8</v>
      </c>
      <c r="CH21" s="6" t="s">
        <v>8</v>
      </c>
      <c r="CJ21" s="6" t="s">
        <v>8</v>
      </c>
      <c r="CL21" s="6" t="s">
        <v>8</v>
      </c>
      <c r="CN21" s="6" t="s">
        <v>8</v>
      </c>
      <c r="DB21" s="6" t="s">
        <v>8</v>
      </c>
    </row>
    <row r="22" spans="1:119" s="6" customFormat="1">
      <c r="A22" t="str">
        <f>HYPERLINK(".\links\pep\TI-8-pep.txt","TI-8")</f>
        <v>TI-8</v>
      </c>
      <c r="B22">
        <v>8</v>
      </c>
      <c r="C22" t="s">
        <v>14</v>
      </c>
      <c r="D22">
        <v>191</v>
      </c>
      <c r="E22">
        <v>0</v>
      </c>
      <c r="F22" t="str">
        <f>HYPERLINK(".\links\cds\TI-8-cds.txt","TI-8")</f>
        <v>TI-8</v>
      </c>
      <c r="G22">
        <v>576</v>
      </c>
      <c r="H22"/>
      <c r="I22" t="s">
        <v>8</v>
      </c>
      <c r="J22" t="s">
        <v>6</v>
      </c>
      <c r="K22">
        <v>0</v>
      </c>
      <c r="L22">
        <v>1</v>
      </c>
      <c r="M22">
        <f t="shared" si="0"/>
        <v>1</v>
      </c>
      <c r="N22" t="s">
        <v>1249</v>
      </c>
      <c r="O22" t="s">
        <v>1173</v>
      </c>
      <c r="P22" t="str">
        <f>HYPERLINK(".\links\SWISSP\TI-8-SWISSP.txt","SWISSP")</f>
        <v>SWISSP</v>
      </c>
      <c r="Q22" s="3">
        <v>5.9999999999999998E-35</v>
      </c>
      <c r="R22">
        <v>74</v>
      </c>
      <c r="S22" t="str">
        <f>HYPERLINK(".\links\NR-LIGHT\TI-8-NR-LIGHT.txt","ptpla domain protein")</f>
        <v>ptpla domain protein</v>
      </c>
      <c r="T22" t="str">
        <f>HYPERLINK("http://www.ncbi.nlm.nih.gov/sutils/blink.cgi?pid=170050795","3E-049")</f>
        <v>3E-049</v>
      </c>
      <c r="U22" t="str">
        <f>HYPERLINK("http://www.ncbi.nlm.nih.gov/protein/170050795","gi|170050795")</f>
        <v>gi|170050795</v>
      </c>
      <c r="V22">
        <v>196</v>
      </c>
      <c r="W22">
        <v>182</v>
      </c>
      <c r="X22">
        <v>232</v>
      </c>
      <c r="Y22">
        <v>54</v>
      </c>
      <c r="Z22">
        <v>79</v>
      </c>
      <c r="AA22">
        <v>84</v>
      </c>
      <c r="AB22">
        <v>0</v>
      </c>
      <c r="AC22">
        <v>44</v>
      </c>
      <c r="AD22">
        <v>9</v>
      </c>
      <c r="AE22">
        <v>1</v>
      </c>
      <c r="AF22"/>
      <c r="AG22" t="s">
        <v>13</v>
      </c>
      <c r="AH22" t="s">
        <v>51</v>
      </c>
      <c r="AI22" t="s">
        <v>263</v>
      </c>
      <c r="AJ22" t="str">
        <f>HYPERLINK(".\links\SWISSP\TI-8-SWISSP.txt","3-hydroxyacyl-CoA dehydratase 2 OS=Bos taurus GN=PTPLB PE=2 SV=2")</f>
        <v>3-hydroxyacyl-CoA dehydratase 2 OS=Bos taurus GN=PTPLB PE=2 SV=2</v>
      </c>
      <c r="AK22" t="str">
        <f>HYPERLINK("http://www.uniprot.org/uniprot/Q2KIP8","6E-035")</f>
        <v>6E-035</v>
      </c>
      <c r="AL22" t="s">
        <v>111</v>
      </c>
      <c r="AM22">
        <v>146</v>
      </c>
      <c r="AN22">
        <v>187</v>
      </c>
      <c r="AO22">
        <v>254</v>
      </c>
      <c r="AP22">
        <v>40</v>
      </c>
      <c r="AQ22">
        <v>74</v>
      </c>
      <c r="AR22">
        <v>112</v>
      </c>
      <c r="AS22">
        <v>0</v>
      </c>
      <c r="AT22">
        <v>64</v>
      </c>
      <c r="AU22">
        <v>2</v>
      </c>
      <c r="AV22">
        <v>1</v>
      </c>
      <c r="AW22" t="s">
        <v>64</v>
      </c>
      <c r="AX22" t="str">
        <f>HYPERLINK(".\links\PREV-RHOD-PEP\TI-8-PREV-RHOD-PEP.txt","Contig17896_130")</f>
        <v>Contig17896_130</v>
      </c>
      <c r="AY22" s="3">
        <v>6.0000000000000003E-87</v>
      </c>
      <c r="AZ22" t="s">
        <v>1026</v>
      </c>
      <c r="BA22">
        <v>315</v>
      </c>
      <c r="BB22">
        <v>190</v>
      </c>
      <c r="BC22">
        <v>238</v>
      </c>
      <c r="BD22">
        <v>78</v>
      </c>
      <c r="BE22">
        <v>80</v>
      </c>
      <c r="BF22">
        <v>41</v>
      </c>
      <c r="BG22">
        <v>0</v>
      </c>
      <c r="BH22">
        <v>45</v>
      </c>
      <c r="BI22">
        <v>1</v>
      </c>
      <c r="BJ22">
        <v>1</v>
      </c>
      <c r="BK22" t="s">
        <v>522</v>
      </c>
      <c r="BL22">
        <f>HYPERLINK(".\links\GO\TI-8-GO.txt",3E-38)</f>
        <v>2.9999999999999999E-38</v>
      </c>
      <c r="BM22" t="s">
        <v>373</v>
      </c>
      <c r="BN22" t="s">
        <v>373</v>
      </c>
      <c r="BO22"/>
      <c r="BP22" t="s">
        <v>374</v>
      </c>
      <c r="BQ22" s="3">
        <v>2.9999999999999999E-35</v>
      </c>
      <c r="BR22" t="s">
        <v>375</v>
      </c>
      <c r="BS22" t="s">
        <v>375</v>
      </c>
      <c r="BT22"/>
      <c r="BU22" t="s">
        <v>376</v>
      </c>
      <c r="BV22" s="3">
        <v>2.9999999999999999E-35</v>
      </c>
      <c r="BW22" t="s">
        <v>380</v>
      </c>
      <c r="BX22" t="s">
        <v>373</v>
      </c>
      <c r="BY22"/>
      <c r="BZ22" t="s">
        <v>381</v>
      </c>
      <c r="CA22" s="3">
        <v>2.9999999999999999E-35</v>
      </c>
      <c r="CB22" t="s">
        <v>8</v>
      </c>
      <c r="CC22"/>
      <c r="CD22"/>
      <c r="CE22" t="s">
        <v>8</v>
      </c>
      <c r="CF22"/>
      <c r="CG22"/>
      <c r="CH22" t="s">
        <v>8</v>
      </c>
      <c r="CI22"/>
      <c r="CJ22" t="s">
        <v>8</v>
      </c>
      <c r="CK22"/>
      <c r="CL22" t="s">
        <v>8</v>
      </c>
      <c r="CM22"/>
      <c r="CN22" t="s">
        <v>8</v>
      </c>
      <c r="CO22"/>
      <c r="CP22"/>
      <c r="CQ22"/>
      <c r="CR22"/>
      <c r="CS22"/>
      <c r="CT22"/>
      <c r="CU22"/>
      <c r="CV22"/>
      <c r="CW22"/>
      <c r="CX22"/>
      <c r="CY22"/>
      <c r="CZ22"/>
      <c r="DA22"/>
      <c r="DB22" t="s">
        <v>8</v>
      </c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s="6" customFormat="1">
      <c r="A23" t="str">
        <f>HYPERLINK(".\links\pep\TI-78-pep.txt","TI-78")</f>
        <v>TI-78</v>
      </c>
      <c r="B23">
        <v>78</v>
      </c>
      <c r="C23" t="s">
        <v>7</v>
      </c>
      <c r="D23">
        <v>233</v>
      </c>
      <c r="E23">
        <v>0</v>
      </c>
      <c r="F23" t="str">
        <f>HYPERLINK(".\links\cds\TI-78-cds.txt","TI-78")</f>
        <v>TI-78</v>
      </c>
      <c r="G23">
        <v>702</v>
      </c>
      <c r="H23"/>
      <c r="I23" t="s">
        <v>29</v>
      </c>
      <c r="J23" t="s">
        <v>6</v>
      </c>
      <c r="K23">
        <v>0</v>
      </c>
      <c r="L23">
        <v>1</v>
      </c>
      <c r="M23">
        <f t="shared" si="0"/>
        <v>1</v>
      </c>
      <c r="N23" t="s">
        <v>1268</v>
      </c>
      <c r="O23" t="s">
        <v>1190</v>
      </c>
      <c r="P23" t="str">
        <f>HYPERLINK(".\links\NR-LIGHT\TI-78-NR-LIGHT.txt","NR-LIGHT")</f>
        <v>NR-LIGHT</v>
      </c>
      <c r="Q23" s="3">
        <v>9.9999999999999995E-58</v>
      </c>
      <c r="R23">
        <v>71</v>
      </c>
      <c r="S23" t="str">
        <f>HYPERLINK(".\links\NR-LIGHT\TI-78-NR-LIGHT.txt","similar to translocon-associated protein subunit alpha")</f>
        <v>similar to translocon-associated protein subunit alpha</v>
      </c>
      <c r="T23" t="str">
        <f>HYPERLINK("http://www.ncbi.nlm.nih.gov/sutils/blink.cgi?pid=91079082","1E-057")</f>
        <v>1E-057</v>
      </c>
      <c r="U23" t="str">
        <f>HYPERLINK("http://www.ncbi.nlm.nih.gov/protein/91079082","gi|91079082")</f>
        <v>gi|91079082</v>
      </c>
      <c r="V23">
        <v>225</v>
      </c>
      <c r="W23">
        <v>202</v>
      </c>
      <c r="X23">
        <v>287</v>
      </c>
      <c r="Y23">
        <v>57</v>
      </c>
      <c r="Z23">
        <v>71</v>
      </c>
      <c r="AA23">
        <v>86</v>
      </c>
      <c r="AB23">
        <v>3</v>
      </c>
      <c r="AC23">
        <v>1</v>
      </c>
      <c r="AD23">
        <v>1</v>
      </c>
      <c r="AE23">
        <v>1</v>
      </c>
      <c r="AF23"/>
      <c r="AG23" t="s">
        <v>13</v>
      </c>
      <c r="AH23" t="s">
        <v>51</v>
      </c>
      <c r="AI23" t="s">
        <v>266</v>
      </c>
      <c r="AJ23" t="str">
        <f>HYPERLINK(".\links\SWISSP\TI-78-SWISSP.txt","Translocon-associated protein subunit alpha OS=Pongo abelii GN=SSR1 PE=2 SV=1")</f>
        <v>Translocon-associated protein subunit alpha OS=Pongo abelii GN=SSR1 PE=2 SV=1</v>
      </c>
      <c r="AK23" t="str">
        <f>HYPERLINK("http://www.uniprot.org/uniprot/Q5R4X4","1E-044")</f>
        <v>1E-044</v>
      </c>
      <c r="AL23" t="s">
        <v>134</v>
      </c>
      <c r="AM23">
        <v>179</v>
      </c>
      <c r="AN23">
        <v>165</v>
      </c>
      <c r="AO23">
        <v>291</v>
      </c>
      <c r="AP23">
        <v>50</v>
      </c>
      <c r="AQ23">
        <v>57</v>
      </c>
      <c r="AR23">
        <v>88</v>
      </c>
      <c r="AS23">
        <v>12</v>
      </c>
      <c r="AT23">
        <v>69</v>
      </c>
      <c r="AU23">
        <v>53</v>
      </c>
      <c r="AV23">
        <v>1</v>
      </c>
      <c r="AW23" t="s">
        <v>121</v>
      </c>
      <c r="AX23" t="str">
        <f>HYPERLINK(".\links\PREV-RHOD-PEP\TI-78-PREV-RHOD-PEP.txt","Contig17383_8")</f>
        <v>Contig17383_8</v>
      </c>
      <c r="AY23" s="3">
        <v>1.0000000000000001E-86</v>
      </c>
      <c r="AZ23" t="s">
        <v>1048</v>
      </c>
      <c r="BA23">
        <v>315</v>
      </c>
      <c r="BB23">
        <v>184</v>
      </c>
      <c r="BC23">
        <v>271</v>
      </c>
      <c r="BD23">
        <v>85</v>
      </c>
      <c r="BE23">
        <v>68</v>
      </c>
      <c r="BF23">
        <v>27</v>
      </c>
      <c r="BG23">
        <v>0</v>
      </c>
      <c r="BH23">
        <v>1</v>
      </c>
      <c r="BI23">
        <v>23</v>
      </c>
      <c r="BJ23">
        <v>1</v>
      </c>
      <c r="BK23" t="s">
        <v>599</v>
      </c>
      <c r="BL23">
        <f>HYPERLINK(".\links\GO\TI-78-GO.txt",9E-53)</f>
        <v>8.9999999999999997E-53</v>
      </c>
      <c r="BM23" t="s">
        <v>8</v>
      </c>
      <c r="BN23" t="s">
        <v>8</v>
      </c>
      <c r="BO23" t="s">
        <v>8</v>
      </c>
      <c r="BP23" t="s">
        <v>8</v>
      </c>
      <c r="BQ23" t="s">
        <v>8</v>
      </c>
      <c r="BR23" t="s">
        <v>8</v>
      </c>
      <c r="BS23" t="s">
        <v>8</v>
      </c>
      <c r="BT23" t="s">
        <v>8</v>
      </c>
      <c r="BU23" t="s">
        <v>8</v>
      </c>
      <c r="BV23" t="s">
        <v>8</v>
      </c>
      <c r="BW23" t="s">
        <v>361</v>
      </c>
      <c r="BX23" t="s">
        <v>340</v>
      </c>
      <c r="BY23" t="s">
        <v>600</v>
      </c>
      <c r="BZ23" t="s">
        <v>362</v>
      </c>
      <c r="CA23" s="3">
        <v>6.9999999999999997E-32</v>
      </c>
      <c r="CB23" t="s">
        <v>8</v>
      </c>
      <c r="CC23"/>
      <c r="CD23"/>
      <c r="CE23" t="s">
        <v>8</v>
      </c>
      <c r="CF23"/>
      <c r="CG23"/>
      <c r="CH23" t="s">
        <v>8</v>
      </c>
      <c r="CI23"/>
      <c r="CJ23" t="s">
        <v>8</v>
      </c>
      <c r="CK23"/>
      <c r="CL23" t="s">
        <v>8</v>
      </c>
      <c r="CM23"/>
      <c r="CN23" t="s">
        <v>8</v>
      </c>
      <c r="CO23"/>
      <c r="CP23"/>
      <c r="CQ23"/>
      <c r="CR23"/>
      <c r="CS23"/>
      <c r="CT23"/>
      <c r="CU23"/>
      <c r="CV23"/>
      <c r="CW23"/>
      <c r="CX23"/>
      <c r="CY23"/>
      <c r="CZ23"/>
      <c r="DA23"/>
      <c r="DB23" t="s">
        <v>8</v>
      </c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s="6" customFormat="1">
      <c r="A24" s="6" t="str">
        <f>HYPERLINK(".\links\pep\TI-72-pep.txt","TI-72")</f>
        <v>TI-72</v>
      </c>
      <c r="B24" s="6">
        <v>72</v>
      </c>
      <c r="C24" s="6" t="s">
        <v>16</v>
      </c>
      <c r="D24" s="6">
        <v>196</v>
      </c>
      <c r="E24" s="6">
        <v>0</v>
      </c>
      <c r="F24" s="6" t="str">
        <f>HYPERLINK(".\links\cds\TI-72-cds.txt","TI-72")</f>
        <v>TI-72</v>
      </c>
      <c r="G24" s="6">
        <v>591</v>
      </c>
      <c r="I24" s="6" t="s">
        <v>8</v>
      </c>
      <c r="J24" s="6" t="s">
        <v>6</v>
      </c>
      <c r="K24" s="6">
        <v>0</v>
      </c>
      <c r="L24" s="6">
        <v>1</v>
      </c>
      <c r="M24" s="6">
        <f t="shared" si="0"/>
        <v>1</v>
      </c>
      <c r="N24" s="6" t="s">
        <v>1170</v>
      </c>
      <c r="O24" s="6" t="s">
        <v>1171</v>
      </c>
      <c r="S24" s="6" t="str">
        <f>HYPERLINK(".\links\NR-LIGHT\TI-72-NR-LIGHT.txt","CG17826")</f>
        <v>CG17826</v>
      </c>
      <c r="T24" s="6" t="str">
        <f>HYPERLINK("http://www.ncbi.nlm.nih.gov/sutils/blink.cgi?pid=24663027","2E-005")</f>
        <v>2E-005</v>
      </c>
      <c r="U24" s="6" t="str">
        <f>HYPERLINK("http://www.ncbi.nlm.nih.gov/protein/24663027","gi|24663027")</f>
        <v>gi|24663027</v>
      </c>
      <c r="V24" s="6">
        <v>51.2</v>
      </c>
      <c r="W24" s="6">
        <v>551</v>
      </c>
      <c r="X24" s="6">
        <v>751</v>
      </c>
      <c r="Y24" s="6">
        <v>22</v>
      </c>
      <c r="Z24" s="6">
        <v>74</v>
      </c>
      <c r="AA24" s="6">
        <v>156</v>
      </c>
      <c r="AB24" s="6">
        <v>21</v>
      </c>
      <c r="AC24" s="6">
        <v>29</v>
      </c>
      <c r="AD24" s="6">
        <v>13</v>
      </c>
      <c r="AE24" s="6">
        <v>6</v>
      </c>
      <c r="AG24" s="6" t="s">
        <v>13</v>
      </c>
      <c r="AH24" s="6" t="s">
        <v>51</v>
      </c>
      <c r="AI24" s="6" t="s">
        <v>52</v>
      </c>
      <c r="AJ24" s="6" t="s">
        <v>8</v>
      </c>
      <c r="AX24" s="6" t="str">
        <f>HYPERLINK(".\links\PREV-RHOD-PEP\TI-72-PREV-RHOD-PEP.txt","Contig17812_36")</f>
        <v>Contig17812_36</v>
      </c>
      <c r="AY24" s="8">
        <v>2.0000000000000001E-61</v>
      </c>
      <c r="AZ24" s="6" t="s">
        <v>1045</v>
      </c>
      <c r="BA24" s="6">
        <v>231</v>
      </c>
      <c r="BB24" s="6">
        <v>195</v>
      </c>
      <c r="BC24" s="6">
        <v>387</v>
      </c>
      <c r="BD24" s="6">
        <v>55</v>
      </c>
      <c r="BE24" s="6">
        <v>51</v>
      </c>
      <c r="BF24" s="6">
        <v>87</v>
      </c>
      <c r="BG24" s="6">
        <v>2</v>
      </c>
      <c r="BH24" s="6">
        <v>6</v>
      </c>
      <c r="BI24" s="6">
        <v>3</v>
      </c>
      <c r="BJ24" s="6">
        <v>1</v>
      </c>
      <c r="BK24" s="6" t="s">
        <v>585</v>
      </c>
      <c r="BL24" s="6">
        <f>HYPERLINK(".\links\GO\TI-72-GO.txt",0.005)</f>
        <v>5.0000000000000001E-3</v>
      </c>
      <c r="BM24" s="6" t="s">
        <v>586</v>
      </c>
      <c r="BN24" s="6" t="s">
        <v>330</v>
      </c>
      <c r="BO24" s="6" t="s">
        <v>587</v>
      </c>
      <c r="BP24" s="6" t="s">
        <v>588</v>
      </c>
      <c r="BQ24" s="6">
        <v>5.0000000000000001E-3</v>
      </c>
      <c r="BR24" s="6" t="s">
        <v>8</v>
      </c>
      <c r="BS24" s="6" t="s">
        <v>8</v>
      </c>
      <c r="BT24" s="6" t="s">
        <v>8</v>
      </c>
      <c r="BU24" s="6" t="s">
        <v>8</v>
      </c>
      <c r="BV24" s="6" t="s">
        <v>8</v>
      </c>
      <c r="BW24" s="6" t="s">
        <v>8</v>
      </c>
      <c r="BX24" s="6" t="s">
        <v>8</v>
      </c>
      <c r="BY24" s="6" t="s">
        <v>8</v>
      </c>
      <c r="BZ24" s="6" t="s">
        <v>8</v>
      </c>
      <c r="CA24" s="6" t="s">
        <v>8</v>
      </c>
      <c r="CB24" s="6" t="s">
        <v>8</v>
      </c>
      <c r="CE24" s="6" t="s">
        <v>8</v>
      </c>
      <c r="CH24" s="6" t="s">
        <v>8</v>
      </c>
      <c r="CJ24" s="6" t="s">
        <v>8</v>
      </c>
      <c r="CL24" s="6" t="s">
        <v>8</v>
      </c>
      <c r="CN24" s="6" t="s">
        <v>8</v>
      </c>
      <c r="DB24" s="6" t="s">
        <v>8</v>
      </c>
    </row>
    <row r="25" spans="1:119" s="6" customFormat="1">
      <c r="A25" t="str">
        <f>HYPERLINK(".\links\pep\TI-589-pep.txt","TI-589")</f>
        <v>TI-589</v>
      </c>
      <c r="B25">
        <v>589</v>
      </c>
      <c r="C25" t="s">
        <v>7</v>
      </c>
      <c r="D25">
        <v>120</v>
      </c>
      <c r="E25">
        <v>0</v>
      </c>
      <c r="F25" t="str">
        <f>HYPERLINK(".\links\cds\TI-589-cds.txt","TI-589")</f>
        <v>TI-589</v>
      </c>
      <c r="G25">
        <v>363</v>
      </c>
      <c r="H25"/>
      <c r="I25" t="s">
        <v>29</v>
      </c>
      <c r="J25" t="s">
        <v>6</v>
      </c>
      <c r="K25">
        <v>0</v>
      </c>
      <c r="L25">
        <v>7</v>
      </c>
      <c r="M25">
        <f t="shared" si="0"/>
        <v>7</v>
      </c>
      <c r="N25" t="s">
        <v>1361</v>
      </c>
      <c r="O25" t="s">
        <v>1178</v>
      </c>
      <c r="P25" t="str">
        <f>HYPERLINK(".\links\NR-LIGHT\TI-589-NR-LIGHT.txt","NR-LIGHT")</f>
        <v>NR-LIGHT</v>
      </c>
      <c r="Q25" s="3">
        <v>4.9999999999999996E-25</v>
      </c>
      <c r="R25">
        <v>94.3</v>
      </c>
      <c r="S25" t="str">
        <f>HYPERLINK(".\links\NR-LIGHT\TI-589-NR-LIGHT.txt","similar to conserved hypothetical protein")</f>
        <v>similar to conserved hypothetical protein</v>
      </c>
      <c r="T25" t="str">
        <f>HYPERLINK("http://www.ncbi.nlm.nih.gov/sutils/blink.cgi?pid=156538160","5E-025")</f>
        <v>5E-025</v>
      </c>
      <c r="U25" t="str">
        <f>HYPERLINK("http://www.ncbi.nlm.nih.gov/protein/156538160","gi|156538160")</f>
        <v>gi|156538160</v>
      </c>
      <c r="V25">
        <v>115</v>
      </c>
      <c r="W25">
        <v>150</v>
      </c>
      <c r="X25">
        <v>160</v>
      </c>
      <c r="Y25">
        <v>45</v>
      </c>
      <c r="Z25">
        <v>94</v>
      </c>
      <c r="AA25">
        <v>82</v>
      </c>
      <c r="AB25">
        <v>43</v>
      </c>
      <c r="AC25">
        <v>1</v>
      </c>
      <c r="AD25">
        <v>3</v>
      </c>
      <c r="AE25">
        <v>1</v>
      </c>
      <c r="AF25"/>
      <c r="AG25" t="s">
        <v>13</v>
      </c>
      <c r="AH25" t="s">
        <v>51</v>
      </c>
      <c r="AI25" t="s">
        <v>274</v>
      </c>
      <c r="AJ25" t="str">
        <f>HYPERLINK(".\links\SWISSP\TI-589-SWISSP.txt","Chromatin complexes subunit BAP18 OS=Homo sapiens GN=BAP18 PE=1 SV=1")</f>
        <v>Chromatin complexes subunit BAP18 OS=Homo sapiens GN=BAP18 PE=1 SV=1</v>
      </c>
      <c r="AK25" t="str">
        <f>HYPERLINK("http://www.uniprot.org/uniprot/Q8IXM2","2E-010")</f>
        <v>2E-010</v>
      </c>
      <c r="AL25" t="s">
        <v>261</v>
      </c>
      <c r="AM25">
        <v>64.3</v>
      </c>
      <c r="AN25">
        <v>90</v>
      </c>
      <c r="AO25">
        <v>172</v>
      </c>
      <c r="AP25">
        <v>42</v>
      </c>
      <c r="AQ25">
        <v>53</v>
      </c>
      <c r="AR25">
        <v>52</v>
      </c>
      <c r="AS25">
        <v>36</v>
      </c>
      <c r="AT25">
        <v>1</v>
      </c>
      <c r="AU25">
        <v>3</v>
      </c>
      <c r="AV25">
        <v>1</v>
      </c>
      <c r="AW25" t="s">
        <v>68</v>
      </c>
      <c r="AX25" t="str">
        <f>HYPERLINK(".\links\PREV-RHOD-PEP\TI-589-PREV-RHOD-PEP.txt","Contig17238_5")</f>
        <v>Contig17238_5</v>
      </c>
      <c r="AY25" s="3">
        <v>9.9999999999999994E-50</v>
      </c>
      <c r="AZ25" t="s">
        <v>992</v>
      </c>
      <c r="BA25">
        <v>191</v>
      </c>
      <c r="BB25">
        <v>151</v>
      </c>
      <c r="BC25">
        <v>152</v>
      </c>
      <c r="BD25">
        <v>66</v>
      </c>
      <c r="BE25">
        <v>100</v>
      </c>
      <c r="BF25">
        <v>51</v>
      </c>
      <c r="BG25">
        <v>34</v>
      </c>
      <c r="BH25">
        <v>1</v>
      </c>
      <c r="BI25">
        <v>3</v>
      </c>
      <c r="BJ25">
        <v>1</v>
      </c>
      <c r="BK25" t="s">
        <v>379</v>
      </c>
      <c r="BL25">
        <f>HYPERLINK(".\links\GO\TI-589-GO.txt",0.00000000000003)</f>
        <v>2.9999999999999998E-14</v>
      </c>
      <c r="BM25" t="s">
        <v>373</v>
      </c>
      <c r="BN25" t="s">
        <v>373</v>
      </c>
      <c r="BO25"/>
      <c r="BP25" t="s">
        <v>374</v>
      </c>
      <c r="BQ25">
        <v>2.9999999999999998E-14</v>
      </c>
      <c r="BR25" t="s">
        <v>375</v>
      </c>
      <c r="BS25" t="s">
        <v>375</v>
      </c>
      <c r="BT25"/>
      <c r="BU25" t="s">
        <v>376</v>
      </c>
      <c r="BV25">
        <v>2.9999999999999998E-14</v>
      </c>
      <c r="BW25" t="s">
        <v>380</v>
      </c>
      <c r="BX25" t="s">
        <v>373</v>
      </c>
      <c r="BY25"/>
      <c r="BZ25" t="s">
        <v>381</v>
      </c>
      <c r="CA25">
        <v>2.9999999999999998E-14</v>
      </c>
      <c r="CB25" t="s">
        <v>8</v>
      </c>
      <c r="CC25"/>
      <c r="CD25"/>
      <c r="CE25" t="s">
        <v>8</v>
      </c>
      <c r="CF25"/>
      <c r="CG25"/>
      <c r="CH25" t="s">
        <v>8</v>
      </c>
      <c r="CI25"/>
      <c r="CJ25" t="s">
        <v>8</v>
      </c>
      <c r="CK25"/>
      <c r="CL25" t="s">
        <v>8</v>
      </c>
      <c r="CM25"/>
      <c r="CN25" t="s">
        <v>8</v>
      </c>
      <c r="CO25"/>
      <c r="CP25"/>
      <c r="CQ25"/>
      <c r="CR25"/>
      <c r="CS25"/>
      <c r="CT25"/>
      <c r="CU25"/>
      <c r="CV25"/>
      <c r="CW25"/>
      <c r="CX25"/>
      <c r="CY25"/>
      <c r="CZ25"/>
      <c r="DA25"/>
      <c r="DB25" t="s">
        <v>8</v>
      </c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s="6" customFormat="1">
      <c r="A26" s="6" t="str">
        <f>HYPERLINK(".\links\pep\TI-580-pep.txt","TI-580")</f>
        <v>TI-580</v>
      </c>
      <c r="B26" s="6">
        <v>580</v>
      </c>
      <c r="C26" s="6" t="s">
        <v>10</v>
      </c>
      <c r="D26" s="6">
        <v>25</v>
      </c>
      <c r="E26" s="6">
        <v>0</v>
      </c>
      <c r="F26" s="6" t="str">
        <f>HYPERLINK(".\links\cds\TI-580-cds.txt","TI-580")</f>
        <v>TI-580</v>
      </c>
      <c r="G26" s="6">
        <v>78</v>
      </c>
      <c r="I26" s="6" t="s">
        <v>8</v>
      </c>
      <c r="J26" s="6" t="s">
        <v>6</v>
      </c>
      <c r="K26" s="6">
        <v>0</v>
      </c>
      <c r="L26" s="6">
        <v>5</v>
      </c>
      <c r="M26" s="6">
        <f t="shared" si="0"/>
        <v>5</v>
      </c>
      <c r="N26" s="6" t="s">
        <v>1170</v>
      </c>
      <c r="O26" s="6" t="s">
        <v>1171</v>
      </c>
      <c r="S26" s="6" t="s">
        <v>8</v>
      </c>
      <c r="AJ26" s="6" t="s">
        <v>8</v>
      </c>
      <c r="AX26" s="6" t="s">
        <v>8</v>
      </c>
      <c r="BK26" s="6" t="s">
        <v>8</v>
      </c>
      <c r="CB26" s="6" t="s">
        <v>8</v>
      </c>
      <c r="CE26" s="6" t="s">
        <v>8</v>
      </c>
      <c r="CH26" s="6" t="s">
        <v>8</v>
      </c>
      <c r="CJ26" s="6" t="s">
        <v>8</v>
      </c>
      <c r="CL26" s="6" t="s">
        <v>8</v>
      </c>
      <c r="CN26" s="6" t="s">
        <v>8</v>
      </c>
      <c r="DB26" s="6" t="s">
        <v>8</v>
      </c>
    </row>
    <row r="27" spans="1:119" s="6" customFormat="1">
      <c r="A27" s="6" t="str">
        <f>HYPERLINK(".\links\pep\TI-579-pep.txt","TI-579")</f>
        <v>TI-579</v>
      </c>
      <c r="B27" s="6">
        <v>579</v>
      </c>
      <c r="C27" s="6" t="s">
        <v>12</v>
      </c>
      <c r="D27" s="6">
        <v>53</v>
      </c>
      <c r="E27" s="6">
        <v>0</v>
      </c>
      <c r="F27" s="6" t="str">
        <f>HYPERLINK(".\links\cds\TI-579-cds.txt","TI-579")</f>
        <v>TI-579</v>
      </c>
      <c r="G27" s="6">
        <v>162</v>
      </c>
      <c r="I27" s="6" t="s">
        <v>8</v>
      </c>
      <c r="J27" s="6" t="s">
        <v>6</v>
      </c>
      <c r="K27" s="6">
        <v>0</v>
      </c>
      <c r="L27" s="6">
        <v>1</v>
      </c>
      <c r="M27" s="6">
        <f t="shared" si="0"/>
        <v>1</v>
      </c>
      <c r="N27" s="6" t="s">
        <v>1170</v>
      </c>
      <c r="O27" s="6" t="s">
        <v>1171</v>
      </c>
      <c r="S27" s="6" t="s">
        <v>8</v>
      </c>
      <c r="AJ27" s="6" t="s">
        <v>8</v>
      </c>
      <c r="AX27" s="6" t="s">
        <v>8</v>
      </c>
      <c r="BK27" s="6" t="s">
        <v>8</v>
      </c>
      <c r="CB27" s="6" t="s">
        <v>8</v>
      </c>
      <c r="CE27" s="6" t="s">
        <v>8</v>
      </c>
      <c r="CH27" s="6" t="s">
        <v>8</v>
      </c>
      <c r="CJ27" s="6" t="s">
        <v>8</v>
      </c>
      <c r="CL27" s="6" t="s">
        <v>8</v>
      </c>
      <c r="CN27" s="6" t="s">
        <v>8</v>
      </c>
      <c r="DB27" s="6" t="s">
        <v>8</v>
      </c>
    </row>
    <row r="28" spans="1:119" s="6" customFormat="1">
      <c r="A28" s="6" t="str">
        <f>HYPERLINK(".\links\pep\TI-577-pep.txt","TI-577")</f>
        <v>TI-577</v>
      </c>
      <c r="B28" s="6">
        <v>577</v>
      </c>
      <c r="C28" s="6" t="s">
        <v>19</v>
      </c>
      <c r="D28" s="6">
        <v>33</v>
      </c>
      <c r="E28" s="6">
        <v>0</v>
      </c>
      <c r="F28" s="6" t="str">
        <f>HYPERLINK(".\links\cds\TI-577-cds.txt","TI-577")</f>
        <v>TI-577</v>
      </c>
      <c r="G28" s="6">
        <v>102</v>
      </c>
      <c r="I28" s="6" t="s">
        <v>8</v>
      </c>
      <c r="J28" s="6" t="s">
        <v>6</v>
      </c>
      <c r="K28" s="6">
        <v>0</v>
      </c>
      <c r="L28" s="6">
        <v>1</v>
      </c>
      <c r="M28" s="6">
        <f t="shared" si="0"/>
        <v>1</v>
      </c>
      <c r="N28" s="6" t="s">
        <v>1170</v>
      </c>
      <c r="O28" s="6" t="s">
        <v>1171</v>
      </c>
      <c r="S28" s="6" t="s">
        <v>8</v>
      </c>
      <c r="AJ28" s="6" t="s">
        <v>8</v>
      </c>
      <c r="AX28" s="6" t="s">
        <v>8</v>
      </c>
      <c r="BK28" s="6" t="s">
        <v>8</v>
      </c>
      <c r="CB28" s="6" t="s">
        <v>8</v>
      </c>
      <c r="CE28" s="6" t="s">
        <v>8</v>
      </c>
      <c r="CH28" s="6" t="s">
        <v>8</v>
      </c>
      <c r="CJ28" s="6" t="s">
        <v>8</v>
      </c>
      <c r="CL28" s="6" t="s">
        <v>8</v>
      </c>
      <c r="CN28" s="6" t="s">
        <v>8</v>
      </c>
      <c r="DB28" s="6" t="s">
        <v>8</v>
      </c>
    </row>
    <row r="29" spans="1:119" s="6" customFormat="1">
      <c r="A29" t="str">
        <f>HYPERLINK(".\links\pep\TI-573-pep.txt","TI-573")</f>
        <v>TI-573</v>
      </c>
      <c r="B29">
        <v>573</v>
      </c>
      <c r="C29" t="s">
        <v>28</v>
      </c>
      <c r="D29">
        <v>138</v>
      </c>
      <c r="E29" s="2">
        <v>0.72463770000000005</v>
      </c>
      <c r="F29" t="str">
        <f>HYPERLINK(".\links\cds\TI-573-cds.txt","TI-573")</f>
        <v>TI-573</v>
      </c>
      <c r="G29">
        <v>417</v>
      </c>
      <c r="H29"/>
      <c r="I29" t="s">
        <v>8</v>
      </c>
      <c r="J29" t="s">
        <v>6</v>
      </c>
      <c r="K29">
        <v>1</v>
      </c>
      <c r="L29">
        <v>8</v>
      </c>
      <c r="M29">
        <f t="shared" si="0"/>
        <v>7</v>
      </c>
      <c r="N29" t="s">
        <v>1355</v>
      </c>
      <c r="O29" t="s">
        <v>1178</v>
      </c>
      <c r="P29" t="str">
        <f>HYPERLINK(".\links\NR-LIGHT\TI-573-NR-LIGHT.txt","NR-LIGHT")</f>
        <v>NR-LIGHT</v>
      </c>
      <c r="Q29" s="3">
        <v>4E-55</v>
      </c>
      <c r="R29">
        <v>27.2</v>
      </c>
      <c r="S29" t="str">
        <f>HYPERLINK(".\links\NR-LIGHT\TI-573-NR-LIGHT.txt","similar to thioredoxin reductase isoform 2")</f>
        <v>similar to thioredoxin reductase isoform 2</v>
      </c>
      <c r="T29" t="str">
        <f>HYPERLINK("http://www.ncbi.nlm.nih.gov/sutils/blink.cgi?pid=91079422","4E-055")</f>
        <v>4E-055</v>
      </c>
      <c r="U29" t="str">
        <f>HYPERLINK("http://www.ncbi.nlm.nih.gov/protein/91079422","gi|91079422")</f>
        <v>gi|91079422</v>
      </c>
      <c r="V29">
        <v>214</v>
      </c>
      <c r="W29">
        <v>133</v>
      </c>
      <c r="X29">
        <v>492</v>
      </c>
      <c r="Y29">
        <v>71</v>
      </c>
      <c r="Z29">
        <v>27</v>
      </c>
      <c r="AA29">
        <v>38</v>
      </c>
      <c r="AB29">
        <v>0</v>
      </c>
      <c r="AC29">
        <v>359</v>
      </c>
      <c r="AD29">
        <v>5</v>
      </c>
      <c r="AE29">
        <v>1</v>
      </c>
      <c r="AF29"/>
      <c r="AG29" t="s">
        <v>13</v>
      </c>
      <c r="AH29" t="s">
        <v>51</v>
      </c>
      <c r="AI29" t="s">
        <v>266</v>
      </c>
      <c r="AJ29" t="str">
        <f>HYPERLINK(".\links\SWISSP\TI-573-SWISSP.txt","Thioredoxin reductase 2, mitochondrial OS=Bos taurus GN=TXNRD2 PE=1 SV=2")</f>
        <v>Thioredoxin reductase 2, mitochondrial OS=Bos taurus GN=TXNRD2 PE=1 SV=2</v>
      </c>
      <c r="AK29" t="str">
        <f>HYPERLINK("http://www.uniprot.org/uniprot/Q9N2I8","2E-051")</f>
        <v>2E-051</v>
      </c>
      <c r="AL29" t="s">
        <v>63</v>
      </c>
      <c r="AM29">
        <v>200</v>
      </c>
      <c r="AN29">
        <v>131</v>
      </c>
      <c r="AO29">
        <v>511</v>
      </c>
      <c r="AP29">
        <v>65</v>
      </c>
      <c r="AQ29">
        <v>26</v>
      </c>
      <c r="AR29">
        <v>45</v>
      </c>
      <c r="AS29">
        <v>0</v>
      </c>
      <c r="AT29">
        <v>378</v>
      </c>
      <c r="AU29">
        <v>5</v>
      </c>
      <c r="AV29">
        <v>1</v>
      </c>
      <c r="AW29" t="s">
        <v>64</v>
      </c>
      <c r="AX29" t="str">
        <f>HYPERLINK(".\links\PREV-RHOD-PEP\TI-573-PREV-RHOD-PEP.txt","Contig17896_35")</f>
        <v>Contig17896_35</v>
      </c>
      <c r="AY29" s="3">
        <v>2E-73</v>
      </c>
      <c r="AZ29" t="s">
        <v>991</v>
      </c>
      <c r="BA29">
        <v>270</v>
      </c>
      <c r="BB29">
        <v>133</v>
      </c>
      <c r="BC29">
        <v>526</v>
      </c>
      <c r="BD29">
        <v>93</v>
      </c>
      <c r="BE29">
        <v>25</v>
      </c>
      <c r="BF29">
        <v>9</v>
      </c>
      <c r="BG29">
        <v>0</v>
      </c>
      <c r="BH29">
        <v>393</v>
      </c>
      <c r="BI29">
        <v>5</v>
      </c>
      <c r="BJ29">
        <v>1</v>
      </c>
      <c r="BK29" t="s">
        <v>366</v>
      </c>
      <c r="BL29">
        <f>HYPERLINK(".\links\GO\TI-573-GO.txt",8E-51)</f>
        <v>8.0000000000000001E-51</v>
      </c>
      <c r="BM29" t="s">
        <v>367</v>
      </c>
      <c r="BN29" t="s">
        <v>345</v>
      </c>
      <c r="BO29" t="s">
        <v>368</v>
      </c>
      <c r="BP29" t="s">
        <v>369</v>
      </c>
      <c r="BQ29" s="3">
        <v>8.0000000000000001E-51</v>
      </c>
      <c r="BR29" t="s">
        <v>356</v>
      </c>
      <c r="BS29" t="s">
        <v>323</v>
      </c>
      <c r="BT29" t="s">
        <v>334</v>
      </c>
      <c r="BU29" t="s">
        <v>357</v>
      </c>
      <c r="BV29" s="3">
        <v>8.0000000000000001E-51</v>
      </c>
      <c r="BW29" t="s">
        <v>370</v>
      </c>
      <c r="BX29" t="s">
        <v>345</v>
      </c>
      <c r="BY29" t="s">
        <v>368</v>
      </c>
      <c r="BZ29" t="s">
        <v>371</v>
      </c>
      <c r="CA29" s="3">
        <v>8.0000000000000001E-51</v>
      </c>
      <c r="CB29" t="s">
        <v>8</v>
      </c>
      <c r="CC29"/>
      <c r="CD29"/>
      <c r="CE29" t="s">
        <v>8</v>
      </c>
      <c r="CF29"/>
      <c r="CG29"/>
      <c r="CH29" t="s">
        <v>8</v>
      </c>
      <c r="CI29"/>
      <c r="CJ29" t="s">
        <v>8</v>
      </c>
      <c r="CK29"/>
      <c r="CL29" t="s">
        <v>8</v>
      </c>
      <c r="CM29"/>
      <c r="CN29" t="s">
        <v>8</v>
      </c>
      <c r="CO29"/>
      <c r="CP29"/>
      <c r="CQ29"/>
      <c r="CR29"/>
      <c r="CS29"/>
      <c r="CT29"/>
      <c r="CU29"/>
      <c r="CV29"/>
      <c r="CW29"/>
      <c r="CX29"/>
      <c r="CY29"/>
      <c r="CZ29"/>
      <c r="DA29"/>
      <c r="DB29" t="s">
        <v>8</v>
      </c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s="6" customFormat="1">
      <c r="A30" s="6" t="str">
        <f>HYPERLINK(".\links\pep\TI-571-pep.txt","TI-571")</f>
        <v>TI-571</v>
      </c>
      <c r="B30" s="6">
        <v>571</v>
      </c>
      <c r="C30" s="6" t="s">
        <v>12</v>
      </c>
      <c r="D30" s="6">
        <v>70</v>
      </c>
      <c r="E30" s="6">
        <v>0</v>
      </c>
      <c r="F30" s="6" t="str">
        <f>HYPERLINK(".\links\cds\TI-571-cds.txt","TI-571")</f>
        <v>TI-571</v>
      </c>
      <c r="G30" s="6">
        <v>207</v>
      </c>
      <c r="I30" s="6" t="s">
        <v>8</v>
      </c>
      <c r="J30" s="6" t="s">
        <v>8</v>
      </c>
      <c r="K30" s="6">
        <v>0</v>
      </c>
      <c r="L30" s="6">
        <v>1</v>
      </c>
      <c r="M30" s="6">
        <f t="shared" si="0"/>
        <v>1</v>
      </c>
      <c r="N30" s="6" t="s">
        <v>1170</v>
      </c>
      <c r="O30" s="6" t="s">
        <v>1171</v>
      </c>
      <c r="S30" s="6" t="s">
        <v>8</v>
      </c>
      <c r="AJ30" s="6" t="s">
        <v>8</v>
      </c>
      <c r="AX30" s="6" t="s">
        <v>8</v>
      </c>
      <c r="BK30" s="6" t="s">
        <v>8</v>
      </c>
      <c r="CB30" s="6" t="s">
        <v>8</v>
      </c>
      <c r="CE30" s="6" t="s">
        <v>8</v>
      </c>
      <c r="CH30" s="6" t="s">
        <v>8</v>
      </c>
      <c r="CJ30" s="6" t="s">
        <v>8</v>
      </c>
      <c r="CL30" s="6" t="s">
        <v>8</v>
      </c>
      <c r="CN30" s="6" t="s">
        <v>8</v>
      </c>
      <c r="DB30" s="6" t="s">
        <v>8</v>
      </c>
    </row>
    <row r="31" spans="1:119" s="6" customFormat="1">
      <c r="A31" t="str">
        <f>HYPERLINK(".\links\pep\TI-569-pep.txt","TI-569")</f>
        <v>TI-569</v>
      </c>
      <c r="B31">
        <v>569</v>
      </c>
      <c r="C31" t="s">
        <v>23</v>
      </c>
      <c r="D31">
        <v>99</v>
      </c>
      <c r="E31">
        <v>0</v>
      </c>
      <c r="F31" t="str">
        <f>HYPERLINK(".\links\cds\TI-569-cds.txt","TI-569")</f>
        <v>TI-569</v>
      </c>
      <c r="G31">
        <v>300</v>
      </c>
      <c r="H31"/>
      <c r="I31" t="s">
        <v>8</v>
      </c>
      <c r="J31" t="s">
        <v>6</v>
      </c>
      <c r="K31">
        <v>0</v>
      </c>
      <c r="L31">
        <v>1</v>
      </c>
      <c r="M31">
        <f t="shared" si="0"/>
        <v>1</v>
      </c>
      <c r="N31" t="s">
        <v>1354</v>
      </c>
      <c r="O31" t="s">
        <v>1178</v>
      </c>
      <c r="P31" t="str">
        <f>HYPERLINK(".\links\NR-LIGHT\TI-569-NR-LIGHT.txt","NR-LIGHT")</f>
        <v>NR-LIGHT</v>
      </c>
      <c r="Q31" s="3">
        <v>9.0000000000000002E-40</v>
      </c>
      <c r="R31">
        <v>34.299999999999997</v>
      </c>
      <c r="S31" t="str">
        <f>HYPERLINK(".\links\NR-LIGHT\TI-569-NR-LIGHT.txt","hypothetical protein BRAFLDRAFT_115538")</f>
        <v>hypothetical protein BRAFLDRAFT_115538</v>
      </c>
      <c r="T31" t="str">
        <f>HYPERLINK("http://www.ncbi.nlm.nih.gov/sutils/blink.cgi?pid=260815086","9E-040")</f>
        <v>9E-040</v>
      </c>
      <c r="U31" t="str">
        <f>HYPERLINK("http://www.ncbi.nlm.nih.gov/protein/260815086","gi|260815086")</f>
        <v>gi|260815086</v>
      </c>
      <c r="V31">
        <v>164</v>
      </c>
      <c r="W31">
        <v>81</v>
      </c>
      <c r="X31">
        <v>239</v>
      </c>
      <c r="Y31">
        <v>90</v>
      </c>
      <c r="Z31">
        <v>34</v>
      </c>
      <c r="AA31">
        <v>8</v>
      </c>
      <c r="AB31">
        <v>0</v>
      </c>
      <c r="AC31">
        <v>42</v>
      </c>
      <c r="AD31">
        <v>12</v>
      </c>
      <c r="AE31">
        <v>1</v>
      </c>
      <c r="AF31"/>
      <c r="AG31" t="s">
        <v>13</v>
      </c>
      <c r="AH31" t="s">
        <v>51</v>
      </c>
      <c r="AI31" t="s">
        <v>301</v>
      </c>
      <c r="AJ31" t="str">
        <f>HYPERLINK(".\links\SWISSP\TI-569-SWISSP.txt","Ubiquitin-conjugating enzyme E2 J2 OS=Homo sapiens GN=UBE2J2 PE=1 SV=3")</f>
        <v>Ubiquitin-conjugating enzyme E2 J2 OS=Homo sapiens GN=UBE2J2 PE=1 SV=3</v>
      </c>
      <c r="AK31" t="str">
        <f>HYPERLINK("http://www.uniprot.org/uniprot/Q8N2K1","8E-039")</f>
        <v>8E-039</v>
      </c>
      <c r="AL31" t="s">
        <v>257</v>
      </c>
      <c r="AM31">
        <v>158</v>
      </c>
      <c r="AN31">
        <v>79</v>
      </c>
      <c r="AO31">
        <v>259</v>
      </c>
      <c r="AP31">
        <v>90</v>
      </c>
      <c r="AQ31">
        <v>31</v>
      </c>
      <c r="AR31">
        <v>8</v>
      </c>
      <c r="AS31">
        <v>0</v>
      </c>
      <c r="AT31">
        <v>45</v>
      </c>
      <c r="AU31">
        <v>12</v>
      </c>
      <c r="AV31">
        <v>1</v>
      </c>
      <c r="AW31" t="s">
        <v>68</v>
      </c>
      <c r="AX31" t="str">
        <f>HYPERLINK(".\links\PREV-RHOD-PEP\TI-569-PREV-RHOD-PEP.txt","Contig18057_340")</f>
        <v>Contig18057_340</v>
      </c>
      <c r="AY31" s="3">
        <v>2E-45</v>
      </c>
      <c r="AZ31" t="s">
        <v>1161</v>
      </c>
      <c r="BA31">
        <v>177</v>
      </c>
      <c r="BB31">
        <v>81</v>
      </c>
      <c r="BC31">
        <v>240</v>
      </c>
      <c r="BD31">
        <v>98</v>
      </c>
      <c r="BE31">
        <v>34</v>
      </c>
      <c r="BF31">
        <v>1</v>
      </c>
      <c r="BG31">
        <v>0</v>
      </c>
      <c r="BH31">
        <v>40</v>
      </c>
      <c r="BI31">
        <v>12</v>
      </c>
      <c r="BJ31">
        <v>1</v>
      </c>
      <c r="BK31" t="s">
        <v>958</v>
      </c>
      <c r="BL31">
        <f>HYPERLINK(".\links\GO\TI-569-GO.txt",3E-39)</f>
        <v>3.0000000000000003E-39</v>
      </c>
      <c r="BM31" t="s">
        <v>959</v>
      </c>
      <c r="BN31" t="s">
        <v>345</v>
      </c>
      <c r="BO31" t="s">
        <v>960</v>
      </c>
      <c r="BP31" t="s">
        <v>961</v>
      </c>
      <c r="BQ31" s="3">
        <v>2.0000000000000001E-32</v>
      </c>
      <c r="BR31" t="s">
        <v>962</v>
      </c>
      <c r="BS31" t="s">
        <v>477</v>
      </c>
      <c r="BT31" t="s">
        <v>477</v>
      </c>
      <c r="BU31" t="s">
        <v>963</v>
      </c>
      <c r="BV31" s="3">
        <v>2.0000000000000001E-32</v>
      </c>
      <c r="BW31" t="s">
        <v>964</v>
      </c>
      <c r="BX31" t="s">
        <v>345</v>
      </c>
      <c r="BY31" t="s">
        <v>960</v>
      </c>
      <c r="BZ31" t="s">
        <v>965</v>
      </c>
      <c r="CA31" s="3">
        <v>2.0000000000000001E-32</v>
      </c>
      <c r="CB31" t="s">
        <v>8</v>
      </c>
      <c r="CC31"/>
      <c r="CD31"/>
      <c r="CE31" t="s">
        <v>8</v>
      </c>
      <c r="CF31"/>
      <c r="CG31"/>
      <c r="CH31" t="s">
        <v>8</v>
      </c>
      <c r="CI31"/>
      <c r="CJ31" t="s">
        <v>8</v>
      </c>
      <c r="CK31"/>
      <c r="CL31" t="s">
        <v>8</v>
      </c>
      <c r="CM31"/>
      <c r="CN31" t="s">
        <v>8</v>
      </c>
      <c r="CO31"/>
      <c r="CP31"/>
      <c r="CQ31"/>
      <c r="CR31"/>
      <c r="CS31"/>
      <c r="CT31"/>
      <c r="CU31"/>
      <c r="CV31"/>
      <c r="CW31"/>
      <c r="CX31"/>
      <c r="CY31"/>
      <c r="CZ31"/>
      <c r="DA31"/>
      <c r="DB31" t="s">
        <v>8</v>
      </c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s="6" customFormat="1">
      <c r="A32" t="str">
        <f>HYPERLINK(".\links\pep\TI-561-pep.txt","TI-561")</f>
        <v>TI-561</v>
      </c>
      <c r="B32">
        <v>561</v>
      </c>
      <c r="C32" t="s">
        <v>16</v>
      </c>
      <c r="D32">
        <v>206</v>
      </c>
      <c r="E32">
        <v>0</v>
      </c>
      <c r="F32" t="str">
        <f>HYPERLINK(".\links\cds\TI-561-cds.txt","TI-561")</f>
        <v>TI-561</v>
      </c>
      <c r="G32">
        <v>621</v>
      </c>
      <c r="H32"/>
      <c r="I32" t="s">
        <v>8</v>
      </c>
      <c r="J32" t="s">
        <v>6</v>
      </c>
      <c r="K32">
        <v>0</v>
      </c>
      <c r="L32">
        <v>1</v>
      </c>
      <c r="M32">
        <f t="shared" si="0"/>
        <v>1</v>
      </c>
      <c r="N32" t="s">
        <v>1352</v>
      </c>
      <c r="O32" t="s">
        <v>1178</v>
      </c>
      <c r="P32" t="str">
        <f>HYPERLINK(".\links\GO\TI-561-GO.txt","GO")</f>
        <v>GO</v>
      </c>
      <c r="Q32" s="3">
        <v>3.0000000000000002E-40</v>
      </c>
      <c r="R32">
        <v>97.8</v>
      </c>
      <c r="S32" t="str">
        <f>HYPERLINK(".\links\NR-LIGHT\TI-561-NR-LIGHT.txt","hypothetical protein LOC792049")</f>
        <v>hypothetical protein LOC792049</v>
      </c>
      <c r="T32" t="str">
        <f>HYPERLINK("http://www.ncbi.nlm.nih.gov/sutils/blink.cgi?pid=158262065","5E-039")</f>
        <v>5E-039</v>
      </c>
      <c r="U32" t="str">
        <f>HYPERLINK("http://www.ncbi.nlm.nih.gov/protein/158262065","gi|158262065")</f>
        <v>gi|158262065</v>
      </c>
      <c r="V32">
        <v>162</v>
      </c>
      <c r="W32">
        <v>182</v>
      </c>
      <c r="X32">
        <v>187</v>
      </c>
      <c r="Y32">
        <v>47</v>
      </c>
      <c r="Z32">
        <v>98</v>
      </c>
      <c r="AA32">
        <v>96</v>
      </c>
      <c r="AB32">
        <v>2</v>
      </c>
      <c r="AC32">
        <v>3</v>
      </c>
      <c r="AD32">
        <v>4</v>
      </c>
      <c r="AE32">
        <v>1</v>
      </c>
      <c r="AF32"/>
      <c r="AG32" t="s">
        <v>13</v>
      </c>
      <c r="AH32" t="s">
        <v>51</v>
      </c>
      <c r="AI32" t="s">
        <v>85</v>
      </c>
      <c r="AJ32" t="str">
        <f>HYPERLINK(".\links\SWISSP\TI-561-SWISSP.txt","Tetratricopeptide repeat protein 36 OS=Danio rerio GN=ttc36 PE=2 SV=1")</f>
        <v>Tetratricopeptide repeat protein 36 OS=Danio rerio GN=ttc36 PE=2 SV=1</v>
      </c>
      <c r="AK32" t="str">
        <f>HYPERLINK("http://www.uniprot.org/uniprot/A8E7I5","1E-039")</f>
        <v>1E-039</v>
      </c>
      <c r="AL32" t="s">
        <v>256</v>
      </c>
      <c r="AM32">
        <v>162</v>
      </c>
      <c r="AN32">
        <v>182</v>
      </c>
      <c r="AO32">
        <v>187</v>
      </c>
      <c r="AP32">
        <v>47</v>
      </c>
      <c r="AQ32">
        <v>98</v>
      </c>
      <c r="AR32">
        <v>96</v>
      </c>
      <c r="AS32">
        <v>2</v>
      </c>
      <c r="AT32">
        <v>3</v>
      </c>
      <c r="AU32">
        <v>4</v>
      </c>
      <c r="AV32">
        <v>1</v>
      </c>
      <c r="AW32" t="s">
        <v>85</v>
      </c>
      <c r="AX32" t="str">
        <f>HYPERLINK(".\links\PREV-RHOD-PEP\TI-561-PREV-RHOD-PEP.txt","Contig4177_4")</f>
        <v>Contig4177_4</v>
      </c>
      <c r="AY32" s="3">
        <v>2E-73</v>
      </c>
      <c r="AZ32" t="s">
        <v>1158</v>
      </c>
      <c r="BA32">
        <v>271</v>
      </c>
      <c r="BB32">
        <v>157</v>
      </c>
      <c r="BC32">
        <v>160</v>
      </c>
      <c r="BD32">
        <v>85</v>
      </c>
      <c r="BE32">
        <v>99</v>
      </c>
      <c r="BF32">
        <v>23</v>
      </c>
      <c r="BG32">
        <v>0</v>
      </c>
      <c r="BH32">
        <v>2</v>
      </c>
      <c r="BI32">
        <v>1</v>
      </c>
      <c r="BJ32">
        <v>1</v>
      </c>
      <c r="BK32" t="s">
        <v>953</v>
      </c>
      <c r="BL32">
        <f>HYPERLINK(".\links\GO\TI-561-GO.txt",3E-40)</f>
        <v>3.0000000000000002E-40</v>
      </c>
      <c r="BM32" t="s">
        <v>792</v>
      </c>
      <c r="BN32" t="s">
        <v>340</v>
      </c>
      <c r="BO32" t="s">
        <v>341</v>
      </c>
      <c r="BP32" t="s">
        <v>793</v>
      </c>
      <c r="BQ32">
        <v>2.0000000000000001E-4</v>
      </c>
      <c r="BR32" t="s">
        <v>954</v>
      </c>
      <c r="BS32" t="s">
        <v>955</v>
      </c>
      <c r="BT32" t="s">
        <v>956</v>
      </c>
      <c r="BU32" t="s">
        <v>957</v>
      </c>
      <c r="BV32">
        <v>2.0000000000000001E-4</v>
      </c>
      <c r="BW32" t="s">
        <v>766</v>
      </c>
      <c r="BX32" t="s">
        <v>340</v>
      </c>
      <c r="BY32" t="s">
        <v>341</v>
      </c>
      <c r="BZ32" t="s">
        <v>767</v>
      </c>
      <c r="CA32">
        <v>2.0000000000000001E-4</v>
      </c>
      <c r="CB32" t="s">
        <v>8</v>
      </c>
      <c r="CC32"/>
      <c r="CD32"/>
      <c r="CE32" t="s">
        <v>8</v>
      </c>
      <c r="CF32"/>
      <c r="CG32"/>
      <c r="CH32" t="s">
        <v>8</v>
      </c>
      <c r="CI32"/>
      <c r="CJ32" t="s">
        <v>8</v>
      </c>
      <c r="CK32"/>
      <c r="CL32" t="s">
        <v>8</v>
      </c>
      <c r="CM32"/>
      <c r="CN32" t="s">
        <v>8</v>
      </c>
      <c r="CO32"/>
      <c r="CP32"/>
      <c r="CQ32"/>
      <c r="CR32"/>
      <c r="CS32"/>
      <c r="CT32"/>
      <c r="CU32"/>
      <c r="CV32"/>
      <c r="CW32"/>
      <c r="CX32"/>
      <c r="CY32"/>
      <c r="CZ32"/>
      <c r="DA32"/>
      <c r="DB32" t="s">
        <v>8</v>
      </c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119" s="6" customFormat="1">
      <c r="A33" t="str">
        <f>HYPERLINK(".\links\pep\TI-555-pep.txt","TI-555")</f>
        <v>TI-555</v>
      </c>
      <c r="B33">
        <v>555</v>
      </c>
      <c r="C33" t="s">
        <v>27</v>
      </c>
      <c r="D33">
        <v>231</v>
      </c>
      <c r="E33" s="2">
        <v>0.43290040000000002</v>
      </c>
      <c r="F33" t="str">
        <f>HYPERLINK(".\links\cds\TI-555-cds.txt","TI-555")</f>
        <v>TI-555</v>
      </c>
      <c r="G33">
        <v>692</v>
      </c>
      <c r="H33"/>
      <c r="I33" t="s">
        <v>8</v>
      </c>
      <c r="J33" t="s">
        <v>8</v>
      </c>
      <c r="K33">
        <v>0</v>
      </c>
      <c r="L33">
        <v>1</v>
      </c>
      <c r="M33">
        <f t="shared" si="0"/>
        <v>1</v>
      </c>
      <c r="N33" t="s">
        <v>1240</v>
      </c>
      <c r="O33" t="s">
        <v>1173</v>
      </c>
      <c r="P33" t="str">
        <f>HYPERLINK(".\links\GO\TI-555-GO.txt","GO")</f>
        <v>GO</v>
      </c>
      <c r="Q33">
        <v>9.9999999999999998E-13</v>
      </c>
      <c r="R33">
        <v>43.8</v>
      </c>
      <c r="S33" t="str">
        <f>HYPERLINK(".\links\NR-LIGHT\TI-555-NR-LIGHT.txt","hypothetical protein LOC100164577 isoform 2")</f>
        <v>hypothetical protein LOC100164577 isoform 2</v>
      </c>
      <c r="T33" t="str">
        <f>HYPERLINK("http://www.ncbi.nlm.nih.gov/sutils/blink.cgi?pid=328717080","8E-022")</f>
        <v>8E-022</v>
      </c>
      <c r="U33" t="str">
        <f>HYPERLINK("http://www.ncbi.nlm.nih.gov/protein/328717080","gi|328717080")</f>
        <v>gi|328717080</v>
      </c>
      <c r="V33">
        <v>106</v>
      </c>
      <c r="W33">
        <v>158</v>
      </c>
      <c r="X33">
        <v>167</v>
      </c>
      <c r="Y33">
        <v>38</v>
      </c>
      <c r="Z33">
        <v>95</v>
      </c>
      <c r="AA33">
        <v>100</v>
      </c>
      <c r="AB33">
        <v>6</v>
      </c>
      <c r="AC33">
        <v>9</v>
      </c>
      <c r="AD33">
        <v>61</v>
      </c>
      <c r="AE33">
        <v>1</v>
      </c>
      <c r="AF33"/>
      <c r="AG33" t="s">
        <v>13</v>
      </c>
      <c r="AH33" t="s">
        <v>51</v>
      </c>
      <c r="AI33" t="s">
        <v>264</v>
      </c>
      <c r="AJ33" t="s">
        <v>8</v>
      </c>
      <c r="AK33"/>
      <c r="AL33"/>
      <c r="AM33"/>
      <c r="AN33"/>
      <c r="AO33"/>
      <c r="AP33"/>
      <c r="AQ33"/>
      <c r="AR33"/>
      <c r="AS33"/>
      <c r="AT33"/>
      <c r="AU33"/>
      <c r="AV33"/>
      <c r="AW33"/>
      <c r="AX33" t="str">
        <f>HYPERLINK(".\links\PREV-RHOD-PEP\TI-555-PREV-RHOD-PEP.txt","Contig17343_19")</f>
        <v>Contig17343_19</v>
      </c>
      <c r="AY33" s="3">
        <v>6.0000000000000003E-47</v>
      </c>
      <c r="AZ33" t="s">
        <v>995</v>
      </c>
      <c r="BA33">
        <v>183</v>
      </c>
      <c r="BB33">
        <v>143</v>
      </c>
      <c r="BC33">
        <v>144</v>
      </c>
      <c r="BD33">
        <v>66</v>
      </c>
      <c r="BE33">
        <v>100</v>
      </c>
      <c r="BF33">
        <v>46</v>
      </c>
      <c r="BG33">
        <v>4</v>
      </c>
      <c r="BH33">
        <v>1</v>
      </c>
      <c r="BI33">
        <v>69</v>
      </c>
      <c r="BJ33">
        <v>2</v>
      </c>
      <c r="BK33" t="s">
        <v>383</v>
      </c>
      <c r="BL33">
        <f>HYPERLINK(".\links\GO\TI-555-GO.txt",0.000000000001)</f>
        <v>9.9999999999999998E-13</v>
      </c>
      <c r="BM33" t="s">
        <v>384</v>
      </c>
      <c r="BN33" t="s">
        <v>345</v>
      </c>
      <c r="BO33" t="s">
        <v>346</v>
      </c>
      <c r="BP33" t="s">
        <v>385</v>
      </c>
      <c r="BQ33">
        <v>9.9999999999999998E-13</v>
      </c>
      <c r="BR33" t="s">
        <v>8</v>
      </c>
      <c r="BS33" t="s">
        <v>8</v>
      </c>
      <c r="BT33" t="s">
        <v>8</v>
      </c>
      <c r="BU33" t="s">
        <v>8</v>
      </c>
      <c r="BV33" t="s">
        <v>8</v>
      </c>
      <c r="BW33" t="s">
        <v>8</v>
      </c>
      <c r="BX33" t="s">
        <v>8</v>
      </c>
      <c r="BY33" t="s">
        <v>8</v>
      </c>
      <c r="BZ33" t="s">
        <v>8</v>
      </c>
      <c r="CA33" t="s">
        <v>8</v>
      </c>
      <c r="CB33" t="s">
        <v>8</v>
      </c>
      <c r="CC33"/>
      <c r="CD33"/>
      <c r="CE33" t="s">
        <v>8</v>
      </c>
      <c r="CF33"/>
      <c r="CG33"/>
      <c r="CH33" t="s">
        <v>8</v>
      </c>
      <c r="CI33"/>
      <c r="CJ33" t="s">
        <v>8</v>
      </c>
      <c r="CK33"/>
      <c r="CL33" t="s">
        <v>8</v>
      </c>
      <c r="CM33"/>
      <c r="CN33" t="s">
        <v>8</v>
      </c>
      <c r="CO33"/>
      <c r="CP33"/>
      <c r="CQ33"/>
      <c r="CR33"/>
      <c r="CS33"/>
      <c r="CT33"/>
      <c r="CU33"/>
      <c r="CV33"/>
      <c r="CW33"/>
      <c r="CX33"/>
      <c r="CY33"/>
      <c r="CZ33"/>
      <c r="DA33"/>
      <c r="DB33" t="s">
        <v>8</v>
      </c>
      <c r="DC33"/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s="6" customFormat="1">
      <c r="A34" s="6" t="str">
        <f>HYPERLINK(".\links\pep\TI-553-pep.txt","TI-553")</f>
        <v>TI-553</v>
      </c>
      <c r="B34" s="6">
        <v>553</v>
      </c>
      <c r="C34" s="6" t="s">
        <v>10</v>
      </c>
      <c r="D34" s="6">
        <v>17</v>
      </c>
      <c r="E34" s="6">
        <v>0</v>
      </c>
      <c r="F34" s="6" t="str">
        <f>HYPERLINK(".\links\cds\TI-553-cds.txt","TI-553")</f>
        <v>TI-553</v>
      </c>
      <c r="G34" s="6">
        <v>54</v>
      </c>
      <c r="I34" s="6" t="s">
        <v>8</v>
      </c>
      <c r="J34" s="6" t="s">
        <v>6</v>
      </c>
      <c r="K34" s="6">
        <v>0</v>
      </c>
      <c r="L34" s="6">
        <v>1</v>
      </c>
      <c r="M34" s="6">
        <f t="shared" si="0"/>
        <v>1</v>
      </c>
      <c r="N34" s="6" t="s">
        <v>1170</v>
      </c>
      <c r="O34" s="6" t="s">
        <v>1171</v>
      </c>
      <c r="S34" s="6" t="s">
        <v>8</v>
      </c>
      <c r="AJ34" s="6" t="s">
        <v>8</v>
      </c>
      <c r="AX34" s="6" t="s">
        <v>8</v>
      </c>
      <c r="BK34" s="6" t="s">
        <v>8</v>
      </c>
      <c r="CB34" s="6" t="s">
        <v>8</v>
      </c>
      <c r="CE34" s="6" t="s">
        <v>8</v>
      </c>
      <c r="CH34" s="6" t="s">
        <v>8</v>
      </c>
      <c r="CJ34" s="6" t="s">
        <v>8</v>
      </c>
      <c r="CL34" s="6" t="s">
        <v>8</v>
      </c>
      <c r="CN34" s="6" t="s">
        <v>8</v>
      </c>
      <c r="DB34" s="6" t="s">
        <v>8</v>
      </c>
    </row>
    <row r="35" spans="1:119" s="6" customFormat="1">
      <c r="A35" s="6" t="str">
        <f>HYPERLINK(".\links\pep\TI-550-pep.txt","TI-550")</f>
        <v>TI-550</v>
      </c>
      <c r="B35" s="6">
        <v>550</v>
      </c>
      <c r="C35" s="6" t="s">
        <v>11</v>
      </c>
      <c r="D35" s="6">
        <v>38</v>
      </c>
      <c r="E35" s="6">
        <v>0</v>
      </c>
      <c r="F35" s="6" t="str">
        <f>HYPERLINK(".\links\cds\TI-550-cds.txt","TI-550")</f>
        <v>TI-550</v>
      </c>
      <c r="G35" s="6">
        <v>117</v>
      </c>
      <c r="I35" s="6" t="s">
        <v>8</v>
      </c>
      <c r="J35" s="6" t="s">
        <v>6</v>
      </c>
      <c r="K35" s="6">
        <v>0</v>
      </c>
      <c r="L35" s="6">
        <v>1</v>
      </c>
      <c r="M35" s="6">
        <f t="shared" si="0"/>
        <v>1</v>
      </c>
      <c r="N35" s="6" t="s">
        <v>1170</v>
      </c>
      <c r="O35" s="6" t="s">
        <v>1171</v>
      </c>
      <c r="S35" s="6" t="s">
        <v>8</v>
      </c>
      <c r="AJ35" s="6" t="s">
        <v>8</v>
      </c>
      <c r="AX35" s="6" t="s">
        <v>8</v>
      </c>
      <c r="BK35" s="6" t="s">
        <v>8</v>
      </c>
      <c r="CB35" s="6" t="s">
        <v>8</v>
      </c>
      <c r="CE35" s="6" t="s">
        <v>8</v>
      </c>
      <c r="CH35" s="6" t="s">
        <v>8</v>
      </c>
      <c r="CJ35" s="6" t="s">
        <v>8</v>
      </c>
      <c r="CL35" s="6" t="s">
        <v>8</v>
      </c>
      <c r="CN35" s="6" t="s">
        <v>8</v>
      </c>
      <c r="DB35" s="6" t="s">
        <v>8</v>
      </c>
    </row>
    <row r="36" spans="1:119" s="6" customFormat="1">
      <c r="A36" t="str">
        <f>HYPERLINK(".\links\pep\TI-548-pep.txt","TI-548")</f>
        <v>TI-548</v>
      </c>
      <c r="B36">
        <v>548</v>
      </c>
      <c r="C36" t="s">
        <v>7</v>
      </c>
      <c r="D36">
        <v>315</v>
      </c>
      <c r="E36">
        <v>0</v>
      </c>
      <c r="F36" t="str">
        <f>HYPERLINK(".\links\cds\TI-548-cds.txt","TI-548")</f>
        <v>TI-548</v>
      </c>
      <c r="G36">
        <v>944</v>
      </c>
      <c r="H36"/>
      <c r="I36" t="s">
        <v>29</v>
      </c>
      <c r="J36" t="s">
        <v>8</v>
      </c>
      <c r="K36">
        <v>1</v>
      </c>
      <c r="L36">
        <v>5</v>
      </c>
      <c r="M36">
        <f t="shared" si="0"/>
        <v>4</v>
      </c>
      <c r="N36" t="s">
        <v>1350</v>
      </c>
      <c r="O36" t="s">
        <v>1187</v>
      </c>
      <c r="P36" t="str">
        <f>HYPERLINK(".\links\GO\TI-548-GO.txt","GO")</f>
        <v>GO</v>
      </c>
      <c r="Q36">
        <v>0</v>
      </c>
      <c r="R36">
        <v>87.2</v>
      </c>
      <c r="S36" t="str">
        <f>HYPERLINK(".\links\NR-LIGHT\TI-548-NR-LIGHT.txt","arginine kinase")</f>
        <v>arginine kinase</v>
      </c>
      <c r="T36" t="str">
        <f>HYPERLINK("http://www.ncbi.nlm.nih.gov/sutils/blink.cgi?pid=116235665","0.0")</f>
        <v>0.0</v>
      </c>
      <c r="U36" t="str">
        <f>HYPERLINK("http://www.ncbi.nlm.nih.gov/protein/116235665","gi|116235665")</f>
        <v>gi|116235665</v>
      </c>
      <c r="V36">
        <v>646</v>
      </c>
      <c r="W36">
        <v>314</v>
      </c>
      <c r="X36">
        <v>356</v>
      </c>
      <c r="Y36">
        <v>97</v>
      </c>
      <c r="Z36">
        <v>88</v>
      </c>
      <c r="AA36">
        <v>7</v>
      </c>
      <c r="AB36">
        <v>0</v>
      </c>
      <c r="AC36">
        <v>1</v>
      </c>
      <c r="AD36">
        <v>1</v>
      </c>
      <c r="AE36">
        <v>1</v>
      </c>
      <c r="AF36"/>
      <c r="AG36" t="s">
        <v>13</v>
      </c>
      <c r="AH36" t="s">
        <v>51</v>
      </c>
      <c r="AI36" t="s">
        <v>279</v>
      </c>
      <c r="AJ36" t="str">
        <f>HYPERLINK(".\links\SWISSP\TI-548-SWISSP.txt","Arginine kinase OS=Schistocerca americana GN=ARGK PE=2 SV=1")</f>
        <v>Arginine kinase OS=Schistocerca americana GN=ARGK PE=2 SV=1</v>
      </c>
      <c r="AK36" t="str">
        <f>HYPERLINK("http://www.uniprot.org/uniprot/P91798","1E-166")</f>
        <v>1E-166</v>
      </c>
      <c r="AL36" t="s">
        <v>252</v>
      </c>
      <c r="AM36">
        <v>585</v>
      </c>
      <c r="AN36">
        <v>314</v>
      </c>
      <c r="AO36">
        <v>356</v>
      </c>
      <c r="AP36">
        <v>86</v>
      </c>
      <c r="AQ36">
        <v>88</v>
      </c>
      <c r="AR36">
        <v>43</v>
      </c>
      <c r="AS36">
        <v>0</v>
      </c>
      <c r="AT36">
        <v>1</v>
      </c>
      <c r="AU36">
        <v>1</v>
      </c>
      <c r="AV36">
        <v>1</v>
      </c>
      <c r="AW36" t="s">
        <v>253</v>
      </c>
      <c r="AX36" t="str">
        <f>HYPERLINK(".\links\PREV-RHOD-PEP\TI-548-PREV-RHOD-PEP.txt","Contig17952_84")</f>
        <v>Contig17952_84</v>
      </c>
      <c r="AY36" s="3">
        <v>5.0000000000000002E-62</v>
      </c>
      <c r="AZ36" t="s">
        <v>1006</v>
      </c>
      <c r="BA36">
        <v>234</v>
      </c>
      <c r="BB36">
        <v>115</v>
      </c>
      <c r="BC36">
        <v>157</v>
      </c>
      <c r="BD36">
        <v>97</v>
      </c>
      <c r="BE36">
        <v>74</v>
      </c>
      <c r="BF36">
        <v>3</v>
      </c>
      <c r="BG36">
        <v>0</v>
      </c>
      <c r="BH36">
        <v>1</v>
      </c>
      <c r="BI36">
        <v>1</v>
      </c>
      <c r="BJ36">
        <v>1</v>
      </c>
      <c r="BK36" t="s">
        <v>428</v>
      </c>
      <c r="BL36">
        <f>HYPERLINK(".\links\GO\TI-548-GO.txt",0)</f>
        <v>0</v>
      </c>
      <c r="BM36" t="s">
        <v>429</v>
      </c>
      <c r="BN36" t="s">
        <v>345</v>
      </c>
      <c r="BO36" t="s">
        <v>346</v>
      </c>
      <c r="BP36" t="s">
        <v>430</v>
      </c>
      <c r="BQ36" s="3">
        <v>6E-68</v>
      </c>
      <c r="BR36" t="s">
        <v>431</v>
      </c>
      <c r="BS36" t="s">
        <v>323</v>
      </c>
      <c r="BT36" t="s">
        <v>334</v>
      </c>
      <c r="BU36" t="s">
        <v>432</v>
      </c>
      <c r="BV36" s="3">
        <v>6E-68</v>
      </c>
      <c r="BW36" t="s">
        <v>433</v>
      </c>
      <c r="BX36" t="s">
        <v>345</v>
      </c>
      <c r="BY36" t="s">
        <v>346</v>
      </c>
      <c r="BZ36" t="s">
        <v>434</v>
      </c>
      <c r="CA36" s="3">
        <v>6E-68</v>
      </c>
      <c r="CB36" t="s">
        <v>8</v>
      </c>
      <c r="CC36"/>
      <c r="CD36"/>
      <c r="CE36" t="s">
        <v>8</v>
      </c>
      <c r="CF36"/>
      <c r="CG36"/>
      <c r="CH36" t="s">
        <v>8</v>
      </c>
      <c r="CI36"/>
      <c r="CJ36" t="s">
        <v>8</v>
      </c>
      <c r="CK36"/>
      <c r="CL36" t="s">
        <v>8</v>
      </c>
      <c r="CM36"/>
      <c r="CN36" t="s">
        <v>8</v>
      </c>
      <c r="CO36"/>
      <c r="CP36"/>
      <c r="CQ36"/>
      <c r="CR36"/>
      <c r="CS36"/>
      <c r="CT36"/>
      <c r="CU36"/>
      <c r="CV36"/>
      <c r="CW36"/>
      <c r="CX36"/>
      <c r="CY36"/>
      <c r="CZ36"/>
      <c r="DA36"/>
      <c r="DB36" t="s">
        <v>8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</row>
    <row r="37" spans="1:119" s="6" customFormat="1">
      <c r="A37" t="str">
        <f>HYPERLINK(".\links\pep\TI-547-pep.txt","TI-547")</f>
        <v>TI-547</v>
      </c>
      <c r="B37">
        <v>547</v>
      </c>
      <c r="C37" t="s">
        <v>16</v>
      </c>
      <c r="D37">
        <v>162</v>
      </c>
      <c r="E37" s="2">
        <v>4.3209879999999998</v>
      </c>
      <c r="F37" t="str">
        <f>HYPERLINK(".\links\cds\TI-547-cds.txt","TI-547")</f>
        <v>TI-547</v>
      </c>
      <c r="G37">
        <v>484</v>
      </c>
      <c r="H37" t="s">
        <v>24</v>
      </c>
      <c r="I37" t="s">
        <v>8</v>
      </c>
      <c r="J37" t="s">
        <v>8</v>
      </c>
      <c r="K37">
        <v>0</v>
      </c>
      <c r="L37">
        <v>1</v>
      </c>
      <c r="M37">
        <f t="shared" si="0"/>
        <v>1</v>
      </c>
      <c r="N37" t="s">
        <v>1350</v>
      </c>
      <c r="O37" t="s">
        <v>1187</v>
      </c>
      <c r="P37" t="str">
        <f>HYPERLINK(".\links\GO\TI-547-GO.txt","GO")</f>
        <v>GO</v>
      </c>
      <c r="Q37" s="3">
        <v>4.9999999999999997E-50</v>
      </c>
      <c r="R37">
        <v>44.7</v>
      </c>
      <c r="S37" t="str">
        <f>HYPERLINK(".\links\NR-LIGHT\TI-547-NR-LIGHT.txt","arginine kinase")</f>
        <v>arginine kinase</v>
      </c>
      <c r="T37" t="str">
        <f>HYPERLINK("http://www.ncbi.nlm.nih.gov/sutils/blink.cgi?pid=116235665","3E-076")</f>
        <v>3E-076</v>
      </c>
      <c r="U37" t="str">
        <f>HYPERLINK("http://www.ncbi.nlm.nih.gov/protein/116235665","gi|116235665")</f>
        <v>gi|116235665</v>
      </c>
      <c r="V37">
        <v>285</v>
      </c>
      <c r="W37">
        <v>158</v>
      </c>
      <c r="X37">
        <v>356</v>
      </c>
      <c r="Y37">
        <v>86</v>
      </c>
      <c r="Z37">
        <v>45</v>
      </c>
      <c r="AA37">
        <v>22</v>
      </c>
      <c r="AB37">
        <v>0</v>
      </c>
      <c r="AC37">
        <v>61</v>
      </c>
      <c r="AD37">
        <v>4</v>
      </c>
      <c r="AE37">
        <v>1</v>
      </c>
      <c r="AF37"/>
      <c r="AG37" t="s">
        <v>13</v>
      </c>
      <c r="AH37" t="s">
        <v>51</v>
      </c>
      <c r="AI37" t="s">
        <v>279</v>
      </c>
      <c r="AJ37" t="str">
        <f>HYPERLINK(".\links\SWISSP\TI-547-SWISSP.txt","Arginine kinase OS=Apis mellifera GN=ARGK PE=2 SV=1")</f>
        <v>Arginine kinase OS=Apis mellifera GN=ARGK PE=2 SV=1</v>
      </c>
      <c r="AK37" t="str">
        <f>HYPERLINK("http://www.uniprot.org/uniprot/O61367","1E-069")</f>
        <v>1E-069</v>
      </c>
      <c r="AL37" t="s">
        <v>82</v>
      </c>
      <c r="AM37">
        <v>261</v>
      </c>
      <c r="AN37">
        <v>157</v>
      </c>
      <c r="AO37">
        <v>355</v>
      </c>
      <c r="AP37">
        <v>78</v>
      </c>
      <c r="AQ37">
        <v>45</v>
      </c>
      <c r="AR37">
        <v>34</v>
      </c>
      <c r="AS37">
        <v>0</v>
      </c>
      <c r="AT37">
        <v>61</v>
      </c>
      <c r="AU37">
        <v>5</v>
      </c>
      <c r="AV37">
        <v>1</v>
      </c>
      <c r="AW37" t="s">
        <v>83</v>
      </c>
      <c r="AX37" t="str">
        <f>HYPERLINK(".\links\PREV-RHOD-PEP\TI-547-PREV-RHOD-PEP.txt","Contig17952_84")</f>
        <v>Contig17952_84</v>
      </c>
      <c r="AY37" s="3">
        <v>8.9999999999999995E-15</v>
      </c>
      <c r="AZ37" t="s">
        <v>1006</v>
      </c>
      <c r="BA37">
        <v>75.5</v>
      </c>
      <c r="BB37">
        <v>55</v>
      </c>
      <c r="BC37">
        <v>157</v>
      </c>
      <c r="BD37">
        <v>66</v>
      </c>
      <c r="BE37">
        <v>36</v>
      </c>
      <c r="BF37">
        <v>19</v>
      </c>
      <c r="BG37">
        <v>0</v>
      </c>
      <c r="BH37">
        <v>61</v>
      </c>
      <c r="BI37">
        <v>4</v>
      </c>
      <c r="BJ37">
        <v>1</v>
      </c>
      <c r="BK37" t="s">
        <v>428</v>
      </c>
      <c r="BL37">
        <f>HYPERLINK(".\links\GO\TI-547-GO.txt",3E-64)</f>
        <v>3.0000000000000001E-64</v>
      </c>
      <c r="BM37" t="s">
        <v>429</v>
      </c>
      <c r="BN37" t="s">
        <v>345</v>
      </c>
      <c r="BO37" t="s">
        <v>346</v>
      </c>
      <c r="BP37" t="s">
        <v>430</v>
      </c>
      <c r="BQ37" s="3">
        <v>1E-25</v>
      </c>
      <c r="BR37" t="s">
        <v>431</v>
      </c>
      <c r="BS37" t="s">
        <v>323</v>
      </c>
      <c r="BT37" t="s">
        <v>334</v>
      </c>
      <c r="BU37" t="s">
        <v>432</v>
      </c>
      <c r="BV37" s="3">
        <v>1E-25</v>
      </c>
      <c r="BW37" t="s">
        <v>433</v>
      </c>
      <c r="BX37" t="s">
        <v>345</v>
      </c>
      <c r="BY37" t="s">
        <v>346</v>
      </c>
      <c r="BZ37" t="s">
        <v>434</v>
      </c>
      <c r="CA37" s="3">
        <v>1E-25</v>
      </c>
      <c r="CB37" t="s">
        <v>8</v>
      </c>
      <c r="CC37"/>
      <c r="CD37"/>
      <c r="CE37" t="s">
        <v>8</v>
      </c>
      <c r="CF37"/>
      <c r="CG37"/>
      <c r="CH37" t="s">
        <v>8</v>
      </c>
      <c r="CI37"/>
      <c r="CJ37" t="s">
        <v>8</v>
      </c>
      <c r="CK37"/>
      <c r="CL37" t="s">
        <v>8</v>
      </c>
      <c r="CM37"/>
      <c r="CN37" t="s">
        <v>8</v>
      </c>
      <c r="CO37"/>
      <c r="CP37"/>
      <c r="CQ37"/>
      <c r="CR37"/>
      <c r="CS37"/>
      <c r="CT37"/>
      <c r="CU37"/>
      <c r="CV37"/>
      <c r="CW37"/>
      <c r="CX37"/>
      <c r="CY37"/>
      <c r="CZ37"/>
      <c r="DA37"/>
      <c r="DB37" t="s">
        <v>8</v>
      </c>
      <c r="DC37"/>
      <c r="DD37"/>
      <c r="DE37"/>
      <c r="DF37"/>
      <c r="DG37"/>
      <c r="DH37"/>
      <c r="DI37"/>
      <c r="DJ37"/>
      <c r="DK37"/>
      <c r="DL37"/>
      <c r="DM37"/>
      <c r="DN37"/>
      <c r="DO37"/>
    </row>
    <row r="38" spans="1:119" s="6" customFormat="1">
      <c r="A38" s="6" t="str">
        <f>HYPERLINK(".\links\pep\TI-541-pep.txt","TI-541")</f>
        <v>TI-541</v>
      </c>
      <c r="B38" s="6">
        <v>541</v>
      </c>
      <c r="C38" s="6" t="s">
        <v>10</v>
      </c>
      <c r="D38" s="6">
        <v>136</v>
      </c>
      <c r="E38" s="6">
        <v>0</v>
      </c>
      <c r="F38" s="6" t="str">
        <f>HYPERLINK(".\links\cds\TI-541-cds.txt","TI-541")</f>
        <v>TI-541</v>
      </c>
      <c r="G38" s="6">
        <v>405</v>
      </c>
      <c r="I38" s="6" t="s">
        <v>8</v>
      </c>
      <c r="J38" s="6" t="s">
        <v>8</v>
      </c>
      <c r="K38" s="6">
        <v>0</v>
      </c>
      <c r="L38" s="6">
        <v>1</v>
      </c>
      <c r="M38" s="6">
        <f t="shared" si="0"/>
        <v>1</v>
      </c>
      <c r="N38" s="6" t="s">
        <v>1170</v>
      </c>
      <c r="O38" s="6" t="s">
        <v>1171</v>
      </c>
      <c r="S38" s="6" t="str">
        <f>HYPERLINK(".\links\NR-LIGHT\TI-541-NR-LIGHT.txt","neuregulin beta-2b")</f>
        <v>neuregulin beta-2b</v>
      </c>
      <c r="T38" s="6" t="str">
        <f>HYPERLINK("http://www.ncbi.nlm.nih.gov/sutils/blink.cgi?pid=2961139","1.8")</f>
        <v>1.8</v>
      </c>
      <c r="U38" s="6" t="str">
        <f>HYPERLINK("http://www.ncbi.nlm.nih.gov/protein/2961139","gi|2961139")</f>
        <v>gi|2961139</v>
      </c>
      <c r="V38" s="6">
        <v>33.5</v>
      </c>
      <c r="W38" s="6">
        <v>42</v>
      </c>
      <c r="X38" s="6">
        <v>480</v>
      </c>
      <c r="Y38" s="6">
        <v>39</v>
      </c>
      <c r="Z38" s="6">
        <v>9</v>
      </c>
      <c r="AA38" s="6">
        <v>26</v>
      </c>
      <c r="AB38" s="6">
        <v>3</v>
      </c>
      <c r="AC38" s="6">
        <v>345</v>
      </c>
      <c r="AD38" s="6">
        <v>66</v>
      </c>
      <c r="AE38" s="6">
        <v>1</v>
      </c>
      <c r="AG38" s="6" t="s">
        <v>13</v>
      </c>
      <c r="AH38" s="6" t="s">
        <v>51</v>
      </c>
      <c r="AI38" s="6" t="s">
        <v>126</v>
      </c>
      <c r="AJ38" s="6" t="s">
        <v>8</v>
      </c>
      <c r="AX38" s="6" t="str">
        <f>HYPERLINK(".\links\PREV-RHOD-PEP\TI-541-PREV-RHOD-PEP.txt","Contig17920_108")</f>
        <v>Contig17920_108</v>
      </c>
      <c r="AY38" s="8">
        <v>1.9999999999999999E-36</v>
      </c>
      <c r="AZ38" s="6" t="s">
        <v>1156</v>
      </c>
      <c r="BA38" s="6">
        <v>146</v>
      </c>
      <c r="BB38" s="6">
        <v>125</v>
      </c>
      <c r="BC38" s="6">
        <v>757</v>
      </c>
      <c r="BD38" s="6">
        <v>62</v>
      </c>
      <c r="BE38" s="6">
        <v>17</v>
      </c>
      <c r="BF38" s="6">
        <v>48</v>
      </c>
      <c r="BG38" s="6">
        <v>6</v>
      </c>
      <c r="BH38" s="6">
        <v>1</v>
      </c>
      <c r="BI38" s="6">
        <v>15</v>
      </c>
      <c r="BJ38" s="6">
        <v>1</v>
      </c>
      <c r="BK38" s="6" t="s">
        <v>8</v>
      </c>
      <c r="CB38" s="6" t="s">
        <v>8</v>
      </c>
      <c r="CE38" s="6" t="s">
        <v>8</v>
      </c>
      <c r="CH38" s="6" t="s">
        <v>8</v>
      </c>
      <c r="CJ38" s="6" t="s">
        <v>8</v>
      </c>
      <c r="CL38" s="6" t="s">
        <v>8</v>
      </c>
      <c r="CN38" s="6" t="s">
        <v>8</v>
      </c>
      <c r="DB38" s="6" t="s">
        <v>8</v>
      </c>
    </row>
    <row r="39" spans="1:119" s="6" customFormat="1">
      <c r="A39" t="str">
        <f>HYPERLINK(".\links\pep\TI-539-pep.txt","TI-539")</f>
        <v>TI-539</v>
      </c>
      <c r="B39">
        <v>539</v>
      </c>
      <c r="C39" t="s">
        <v>11</v>
      </c>
      <c r="D39">
        <v>101</v>
      </c>
      <c r="E39">
        <v>0</v>
      </c>
      <c r="F39" t="str">
        <f>HYPERLINK(".\links\cds\TI-539-cds.txt","TI-539")</f>
        <v>TI-539</v>
      </c>
      <c r="G39">
        <v>306</v>
      </c>
      <c r="H39"/>
      <c r="I39" t="s">
        <v>8</v>
      </c>
      <c r="J39" t="s">
        <v>6</v>
      </c>
      <c r="K39">
        <v>0</v>
      </c>
      <c r="L39">
        <v>1</v>
      </c>
      <c r="M39">
        <f t="shared" si="0"/>
        <v>1</v>
      </c>
      <c r="N39" t="s">
        <v>1348</v>
      </c>
      <c r="O39" t="s">
        <v>1168</v>
      </c>
      <c r="P39" t="str">
        <f>HYPERLINK(".\links\NR-LIGHT\TI-539-NR-LIGHT.txt","NR-LIGHT")</f>
        <v>NR-LIGHT</v>
      </c>
      <c r="Q39">
        <v>5.9999999999999997E-13</v>
      </c>
      <c r="R39">
        <v>72.7</v>
      </c>
      <c r="S39" t="str">
        <f>HYPERLINK(".\links\NR-LIGHT\TI-539-NR-LIGHT.txt","AGAP011630-PA")</f>
        <v>AGAP011630-PA</v>
      </c>
      <c r="T39" t="str">
        <f>HYPERLINK("http://www.ncbi.nlm.nih.gov/sutils/blink.cgi?pid=158301127","2E-013")</f>
        <v>2E-013</v>
      </c>
      <c r="U39" t="str">
        <f>HYPERLINK("http://www.ncbi.nlm.nih.gov/protein/158301127","gi|158301127")</f>
        <v>gi|158301127</v>
      </c>
      <c r="V39">
        <v>76.599999999999994</v>
      </c>
      <c r="W39">
        <v>96</v>
      </c>
      <c r="X39">
        <v>120</v>
      </c>
      <c r="Y39">
        <v>42</v>
      </c>
      <c r="Z39">
        <v>81</v>
      </c>
      <c r="AA39">
        <v>56</v>
      </c>
      <c r="AB39">
        <v>1</v>
      </c>
      <c r="AC39">
        <v>24</v>
      </c>
      <c r="AD39">
        <v>4</v>
      </c>
      <c r="AE39">
        <v>1</v>
      </c>
      <c r="AF39"/>
      <c r="AG39" t="s">
        <v>13</v>
      </c>
      <c r="AH39" t="s">
        <v>51</v>
      </c>
      <c r="AI39" t="s">
        <v>275</v>
      </c>
      <c r="AJ39" t="s">
        <v>8</v>
      </c>
      <c r="AK39"/>
      <c r="AL39"/>
      <c r="AM39"/>
      <c r="AN39"/>
      <c r="AO39"/>
      <c r="AP39"/>
      <c r="AQ39"/>
      <c r="AR39"/>
      <c r="AS39"/>
      <c r="AT39"/>
      <c r="AU39"/>
      <c r="AV39"/>
      <c r="AW39"/>
      <c r="AX39" t="str">
        <f>HYPERLINK(".\links\PREV-RHOD-PEP\TI-539-PREV-RHOD-PEP.txt","Contig17940_72")</f>
        <v>Contig17940_72</v>
      </c>
      <c r="AY39" s="3">
        <v>4.0000000000000002E-33</v>
      </c>
      <c r="AZ39" t="s">
        <v>1079</v>
      </c>
      <c r="BA39">
        <v>135</v>
      </c>
      <c r="BB39">
        <v>98</v>
      </c>
      <c r="BC39">
        <v>126</v>
      </c>
      <c r="BD39">
        <v>66</v>
      </c>
      <c r="BE39">
        <v>79</v>
      </c>
      <c r="BF39">
        <v>34</v>
      </c>
      <c r="BG39">
        <v>1</v>
      </c>
      <c r="BH39">
        <v>28</v>
      </c>
      <c r="BI39">
        <v>2</v>
      </c>
      <c r="BJ39">
        <v>1</v>
      </c>
      <c r="BK39" t="s">
        <v>8</v>
      </c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 t="s">
        <v>8</v>
      </c>
      <c r="CC39"/>
      <c r="CD39"/>
      <c r="CE39" t="s">
        <v>8</v>
      </c>
      <c r="CF39"/>
      <c r="CG39"/>
      <c r="CH39" t="s">
        <v>8</v>
      </c>
      <c r="CI39"/>
      <c r="CJ39" t="s">
        <v>8</v>
      </c>
      <c r="CK39"/>
      <c r="CL39" t="s">
        <v>8</v>
      </c>
      <c r="CM39"/>
      <c r="CN39" t="s">
        <v>8</v>
      </c>
      <c r="CO39"/>
      <c r="CP39"/>
      <c r="CQ39"/>
      <c r="CR39"/>
      <c r="CS39"/>
      <c r="CT39"/>
      <c r="CU39"/>
      <c r="CV39"/>
      <c r="CW39"/>
      <c r="CX39"/>
      <c r="CY39"/>
      <c r="CZ39"/>
      <c r="DA39"/>
      <c r="DB39" t="s">
        <v>8</v>
      </c>
      <c r="DC39"/>
      <c r="DD39"/>
      <c r="DE39"/>
      <c r="DF39"/>
      <c r="DG39"/>
      <c r="DH39"/>
      <c r="DI39"/>
      <c r="DJ39"/>
      <c r="DK39"/>
      <c r="DL39"/>
      <c r="DM39"/>
      <c r="DN39"/>
      <c r="DO39"/>
    </row>
    <row r="40" spans="1:119" s="6" customFormat="1">
      <c r="A40" t="str">
        <f>HYPERLINK(".\links\pep\TI-537-pep.txt","TI-537")</f>
        <v>TI-537</v>
      </c>
      <c r="B40">
        <v>537</v>
      </c>
      <c r="C40" t="s">
        <v>14</v>
      </c>
      <c r="D40">
        <v>118</v>
      </c>
      <c r="E40">
        <v>0</v>
      </c>
      <c r="F40" t="str">
        <f>HYPERLINK(".\links\cds\TI-537-cds.txt","TI-537")</f>
        <v>TI-537</v>
      </c>
      <c r="G40">
        <v>357</v>
      </c>
      <c r="H40"/>
      <c r="I40" t="s">
        <v>8</v>
      </c>
      <c r="J40" t="s">
        <v>6</v>
      </c>
      <c r="K40">
        <v>0</v>
      </c>
      <c r="L40">
        <v>1</v>
      </c>
      <c r="M40">
        <f t="shared" si="0"/>
        <v>1</v>
      </c>
      <c r="N40" t="s">
        <v>1347</v>
      </c>
      <c r="O40" t="s">
        <v>1178</v>
      </c>
      <c r="P40" t="str">
        <f>HYPERLINK(".\links\NR-LIGHT\TI-537-NR-LIGHT.txt","NR-LIGHT")</f>
        <v>NR-LIGHT</v>
      </c>
      <c r="Q40" s="3">
        <v>7.0000000000000003E-16</v>
      </c>
      <c r="R40">
        <v>43</v>
      </c>
      <c r="S40" t="str">
        <f>HYPERLINK(".\links\NR-LIGHT\TI-537-NR-LIGHT.txt","similar to CG41536 CG41536-PA, partial")</f>
        <v>similar to CG41536 CG41536-PA, partial</v>
      </c>
      <c r="T40" t="str">
        <f>HYPERLINK("http://www.ncbi.nlm.nih.gov/sutils/blink.cgi?pid=189242234","7E-016")</f>
        <v>7E-016</v>
      </c>
      <c r="U40" t="str">
        <f>HYPERLINK("http://www.ncbi.nlm.nih.gov/protein/189242234","gi|189242234")</f>
        <v>gi|189242234</v>
      </c>
      <c r="V40">
        <v>84.7</v>
      </c>
      <c r="W40">
        <v>52</v>
      </c>
      <c r="X40">
        <v>125</v>
      </c>
      <c r="Y40">
        <v>77</v>
      </c>
      <c r="Z40">
        <v>42</v>
      </c>
      <c r="AA40">
        <v>12</v>
      </c>
      <c r="AB40">
        <v>1</v>
      </c>
      <c r="AC40">
        <v>71</v>
      </c>
      <c r="AD40">
        <v>12</v>
      </c>
      <c r="AE40">
        <v>1</v>
      </c>
      <c r="AF40"/>
      <c r="AG40" t="s">
        <v>13</v>
      </c>
      <c r="AH40" t="s">
        <v>51</v>
      </c>
      <c r="AI40" t="s">
        <v>266</v>
      </c>
      <c r="AJ40" t="str">
        <f>HYPERLINK(".\links\SWISSP\TI-537-SWISSP.txt","Putative uncharacterized protein ART2 OS=Saccharomyces cerevisiae (strain ATCC")</f>
        <v>Putative uncharacterized protein ART2 OS=Saccharomyces cerevisiae (strain ATCC</v>
      </c>
      <c r="AK40" t="str">
        <f>HYPERLINK("http://www.uniprot.org/uniprot/Q8TGM7","5E-007")</f>
        <v>5E-007</v>
      </c>
      <c r="AL40" t="s">
        <v>249</v>
      </c>
      <c r="AM40">
        <v>53.1</v>
      </c>
      <c r="AN40">
        <v>40</v>
      </c>
      <c r="AO40">
        <v>61</v>
      </c>
      <c r="AP40">
        <v>63</v>
      </c>
      <c r="AQ40">
        <v>67</v>
      </c>
      <c r="AR40">
        <v>15</v>
      </c>
      <c r="AS40">
        <v>0</v>
      </c>
      <c r="AT40">
        <v>18</v>
      </c>
      <c r="AU40">
        <v>12</v>
      </c>
      <c r="AV40">
        <v>1</v>
      </c>
      <c r="AW40" t="s">
        <v>148</v>
      </c>
      <c r="AX40" t="s">
        <v>8</v>
      </c>
      <c r="AY40"/>
      <c r="AZ40"/>
      <c r="BA40"/>
      <c r="BB40"/>
      <c r="BC40"/>
      <c r="BD40"/>
      <c r="BE40"/>
      <c r="BF40"/>
      <c r="BG40"/>
      <c r="BH40"/>
      <c r="BI40"/>
      <c r="BJ40"/>
      <c r="BK40" t="s">
        <v>949</v>
      </c>
      <c r="BL40">
        <f>HYPERLINK(".\links\GO\TI-537-GO.txt",0.00004)</f>
        <v>4.0000000000000003E-5</v>
      </c>
      <c r="BM40" t="s">
        <v>373</v>
      </c>
      <c r="BN40" t="s">
        <v>373</v>
      </c>
      <c r="BO40"/>
      <c r="BP40" t="s">
        <v>374</v>
      </c>
      <c r="BQ40">
        <v>4.0000000000000003E-5</v>
      </c>
      <c r="BR40" t="s">
        <v>375</v>
      </c>
      <c r="BS40" t="s">
        <v>375</v>
      </c>
      <c r="BT40"/>
      <c r="BU40" t="s">
        <v>376</v>
      </c>
      <c r="BV40">
        <v>4.0000000000000003E-5</v>
      </c>
      <c r="BW40" t="s">
        <v>380</v>
      </c>
      <c r="BX40" t="s">
        <v>373</v>
      </c>
      <c r="BY40"/>
      <c r="BZ40" t="s">
        <v>381</v>
      </c>
      <c r="CA40">
        <v>4.0000000000000003E-5</v>
      </c>
      <c r="CB40" t="s">
        <v>8</v>
      </c>
      <c r="CC40"/>
      <c r="CD40"/>
      <c r="CE40" t="s">
        <v>8</v>
      </c>
      <c r="CF40"/>
      <c r="CG40"/>
      <c r="CH40" t="s">
        <v>8</v>
      </c>
      <c r="CI40"/>
      <c r="CJ40" t="s">
        <v>8</v>
      </c>
      <c r="CK40"/>
      <c r="CL40" t="s">
        <v>8</v>
      </c>
      <c r="CM40"/>
      <c r="CN40" t="s">
        <v>8</v>
      </c>
      <c r="CO40"/>
      <c r="CP40"/>
      <c r="CQ40"/>
      <c r="CR40"/>
      <c r="CS40"/>
      <c r="CT40"/>
      <c r="CU40"/>
      <c r="CV40"/>
      <c r="CW40"/>
      <c r="CX40"/>
      <c r="CY40"/>
      <c r="CZ40"/>
      <c r="DA40"/>
      <c r="DB40" t="str">
        <f>HYPERLINK(".\links\RRNA\TI-537-RRNA.txt","Sus scrofa 28S rRNA, partial sequence")</f>
        <v>Sus scrofa 28S rRNA, partial sequence</v>
      </c>
      <c r="DC40" t="str">
        <f>HYPERLINK("http://www.ncbi.nlm.nih.gov/entrez/viewer.fcgi?db=nucleotide&amp;val=38524494","2E-026")</f>
        <v>2E-026</v>
      </c>
      <c r="DD40" t="str">
        <f>HYPERLINK("http://www.ncbi.nlm.nih.gov/entrez/viewer.fcgi?db=nucleotide&amp;val=38524494","gi|38524494")</f>
        <v>gi|38524494</v>
      </c>
      <c r="DE40">
        <v>117</v>
      </c>
      <c r="DF40">
        <v>102</v>
      </c>
      <c r="DG40">
        <v>380</v>
      </c>
      <c r="DH40">
        <v>89</v>
      </c>
      <c r="DI40">
        <v>27</v>
      </c>
      <c r="DJ40">
        <v>11</v>
      </c>
      <c r="DK40">
        <v>0</v>
      </c>
      <c r="DL40">
        <v>24</v>
      </c>
      <c r="DM40">
        <v>34</v>
      </c>
      <c r="DN40">
        <v>1</v>
      </c>
      <c r="DO40" t="s">
        <v>981</v>
      </c>
    </row>
    <row r="41" spans="1:119" s="6" customFormat="1">
      <c r="A41" s="6" t="str">
        <f>HYPERLINK(".\links\pep\TI-535-pep.txt","TI-535")</f>
        <v>TI-535</v>
      </c>
      <c r="B41" s="6">
        <v>535</v>
      </c>
      <c r="C41" s="6" t="s">
        <v>27</v>
      </c>
      <c r="D41" s="6">
        <v>41</v>
      </c>
      <c r="E41" s="6">
        <v>0</v>
      </c>
      <c r="F41" s="6" t="str">
        <f>HYPERLINK(".\links\cds\TI-535-cds.txt","TI-535")</f>
        <v>TI-535</v>
      </c>
      <c r="G41" s="6">
        <v>126</v>
      </c>
      <c r="I41" s="6" t="s">
        <v>8</v>
      </c>
      <c r="J41" s="6" t="s">
        <v>6</v>
      </c>
      <c r="K41" s="6">
        <v>0</v>
      </c>
      <c r="L41" s="6">
        <v>2</v>
      </c>
      <c r="M41" s="6">
        <f t="shared" si="0"/>
        <v>2</v>
      </c>
      <c r="N41" s="6" t="s">
        <v>1170</v>
      </c>
      <c r="O41" s="6" t="s">
        <v>1171</v>
      </c>
      <c r="S41" s="6" t="s">
        <v>8</v>
      </c>
      <c r="AJ41" s="6" t="s">
        <v>8</v>
      </c>
      <c r="AX41" s="6" t="s">
        <v>8</v>
      </c>
      <c r="BK41" s="6" t="s">
        <v>8</v>
      </c>
      <c r="CB41" s="6" t="s">
        <v>8</v>
      </c>
      <c r="CE41" s="6" t="s">
        <v>8</v>
      </c>
      <c r="CH41" s="6" t="s">
        <v>8</v>
      </c>
      <c r="CJ41" s="6" t="s">
        <v>8</v>
      </c>
      <c r="CL41" s="6" t="s">
        <v>8</v>
      </c>
      <c r="CN41" s="6" t="s">
        <v>8</v>
      </c>
      <c r="DB41" s="6" t="str">
        <f>HYPERLINK(".\links\RRNA\TI-535-RRNA.txt","Mylabris calida mitochondrial partial 16S rRNA gene, isolate Mc1")</f>
        <v>Mylabris calida mitochondrial partial 16S rRNA gene, isolate Mc1</v>
      </c>
      <c r="DC41" s="6" t="str">
        <f>HYPERLINK("http://www.ncbi.nlm.nih.gov/entrez/viewer.fcgi?db=nucleotide&amp;val=56409783","1E-007")</f>
        <v>1E-007</v>
      </c>
      <c r="DD41" s="6" t="str">
        <f>HYPERLINK("http://www.ncbi.nlm.nih.gov/entrez/viewer.fcgi?db=nucleotide&amp;val=56409783","gi|56409783")</f>
        <v>gi|56409783</v>
      </c>
      <c r="DE41" s="6">
        <v>54</v>
      </c>
      <c r="DF41" s="6">
        <v>30</v>
      </c>
      <c r="DG41" s="6">
        <v>548</v>
      </c>
      <c r="DH41" s="6">
        <v>96</v>
      </c>
      <c r="DI41" s="6">
        <v>6</v>
      </c>
      <c r="DJ41" s="6">
        <v>1</v>
      </c>
      <c r="DK41" s="6">
        <v>0</v>
      </c>
      <c r="DL41" s="6">
        <v>1</v>
      </c>
      <c r="DM41" s="6">
        <v>8</v>
      </c>
      <c r="DN41" s="6">
        <v>1</v>
      </c>
      <c r="DO41" s="6" t="s">
        <v>981</v>
      </c>
    </row>
    <row r="42" spans="1:119" s="6" customFormat="1">
      <c r="A42" s="6" t="str">
        <f>HYPERLINK(".\links\pep\TI-534-pep.txt","TI-534")</f>
        <v>TI-534</v>
      </c>
      <c r="B42" s="6">
        <v>534</v>
      </c>
      <c r="C42" s="6" t="s">
        <v>18</v>
      </c>
      <c r="D42" s="6">
        <v>45</v>
      </c>
      <c r="E42" s="6">
        <v>0</v>
      </c>
      <c r="F42" s="6" t="str">
        <f>HYPERLINK(".\links\cds\TI-534-cds.txt","TI-534")</f>
        <v>TI-534</v>
      </c>
      <c r="G42" s="6">
        <v>138</v>
      </c>
      <c r="I42" s="6" t="s">
        <v>8</v>
      </c>
      <c r="J42" s="6" t="s">
        <v>6</v>
      </c>
      <c r="K42" s="6">
        <v>0</v>
      </c>
      <c r="L42" s="6">
        <v>1</v>
      </c>
      <c r="M42" s="6">
        <f t="shared" si="0"/>
        <v>1</v>
      </c>
      <c r="N42" s="6" t="s">
        <v>1170</v>
      </c>
      <c r="O42" s="6" t="s">
        <v>1171</v>
      </c>
      <c r="S42" s="6" t="str">
        <f>HYPERLINK(".\links\NR-LIGHT\TI-534-NR-LIGHT.txt","hypothetical protein Bm1_17870")</f>
        <v>hypothetical protein Bm1_17870</v>
      </c>
      <c r="T42" s="6" t="str">
        <f>HYPERLINK("http://www.ncbi.nlm.nih.gov/sutils/blink.cgi?pid=170579899","4E-006")</f>
        <v>4E-006</v>
      </c>
      <c r="U42" s="6" t="str">
        <f>HYPERLINK("http://www.ncbi.nlm.nih.gov/protein/170579899","gi|170579899")</f>
        <v>gi|170579899</v>
      </c>
      <c r="V42" s="6">
        <v>52.4</v>
      </c>
      <c r="W42" s="6">
        <v>24</v>
      </c>
      <c r="X42" s="6">
        <v>62</v>
      </c>
      <c r="Y42" s="6">
        <v>92</v>
      </c>
      <c r="Z42" s="6">
        <v>40</v>
      </c>
      <c r="AA42" s="6">
        <v>2</v>
      </c>
      <c r="AB42" s="6">
        <v>0</v>
      </c>
      <c r="AC42" s="6">
        <v>1</v>
      </c>
      <c r="AD42" s="6">
        <v>21</v>
      </c>
      <c r="AE42" s="6">
        <v>1</v>
      </c>
      <c r="AG42" s="6" t="s">
        <v>13</v>
      </c>
      <c r="AH42" s="6" t="s">
        <v>51</v>
      </c>
      <c r="AI42" s="6" t="s">
        <v>284</v>
      </c>
      <c r="AJ42" s="6" t="s">
        <v>8</v>
      </c>
      <c r="AX42" s="6" t="s">
        <v>8</v>
      </c>
      <c r="BK42" s="6" t="s">
        <v>8</v>
      </c>
      <c r="CB42" s="6" t="s">
        <v>8</v>
      </c>
      <c r="CE42" s="6" t="s">
        <v>8</v>
      </c>
      <c r="CH42" s="6" t="s">
        <v>8</v>
      </c>
      <c r="CJ42" s="6" t="s">
        <v>8</v>
      </c>
      <c r="CL42" s="6" t="s">
        <v>8</v>
      </c>
      <c r="CN42" s="6" t="s">
        <v>8</v>
      </c>
      <c r="DB42" s="6" t="str">
        <f>HYPERLINK(".\links\RRNA\TI-534-RRNA.txt","Amblyomma americanum 18S rRNA sequence")</f>
        <v>Amblyomma americanum 18S rRNA sequence</v>
      </c>
      <c r="DC42" s="6" t="str">
        <f>HYPERLINK("http://www.ncbi.nlm.nih.gov/entrez/viewer.fcgi?db=nucleotide&amp;val=173606","5E-050")</f>
        <v>5E-050</v>
      </c>
      <c r="DD42" s="6" t="str">
        <f>HYPERLINK("http://www.ncbi.nlm.nih.gov/entrez/viewer.fcgi?db=nucleotide&amp;val=173606","gi|173606")</f>
        <v>gi|173606</v>
      </c>
      <c r="DE42" s="6">
        <v>194</v>
      </c>
      <c r="DF42" s="6">
        <v>101</v>
      </c>
      <c r="DG42" s="6">
        <v>1441</v>
      </c>
      <c r="DH42" s="6">
        <v>99</v>
      </c>
      <c r="DI42" s="6">
        <v>7</v>
      </c>
      <c r="DJ42" s="6">
        <v>1</v>
      </c>
      <c r="DK42" s="6">
        <v>0</v>
      </c>
      <c r="DL42" s="6">
        <v>230</v>
      </c>
      <c r="DM42" s="6">
        <v>37</v>
      </c>
      <c r="DN42" s="6">
        <v>1</v>
      </c>
      <c r="DO42" s="6" t="s">
        <v>981</v>
      </c>
    </row>
    <row r="43" spans="1:119" s="6" customFormat="1">
      <c r="A43" s="6" t="str">
        <f>HYPERLINK(".\links\pep\TI-532-pep.txt","TI-532")</f>
        <v>TI-532</v>
      </c>
      <c r="B43" s="6">
        <v>532</v>
      </c>
      <c r="C43" s="6" t="s">
        <v>12</v>
      </c>
      <c r="D43" s="6">
        <v>124</v>
      </c>
      <c r="E43" s="6">
        <v>0</v>
      </c>
      <c r="F43" s="6" t="str">
        <f>HYPERLINK(".\links\cds\TI-532-cds.txt","TI-532")</f>
        <v>TI-532</v>
      </c>
      <c r="G43" s="6">
        <v>375</v>
      </c>
      <c r="I43" s="6" t="s">
        <v>8</v>
      </c>
      <c r="J43" s="6" t="s">
        <v>6</v>
      </c>
      <c r="K43" s="6">
        <v>0</v>
      </c>
      <c r="L43" s="6">
        <v>2</v>
      </c>
      <c r="M43" s="6">
        <f t="shared" si="0"/>
        <v>2</v>
      </c>
      <c r="N43" s="6" t="s">
        <v>1170</v>
      </c>
      <c r="O43" s="6" t="s">
        <v>1171</v>
      </c>
      <c r="S43" s="6" t="str">
        <f>HYPERLINK(".\links\NR-LIGHT\TI-532-NR-LIGHT.txt","kininogen 1, isoform CRA_b")</f>
        <v>kininogen 1, isoform CRA_b</v>
      </c>
      <c r="T43" s="6" t="str">
        <f>HYPERLINK("http://www.ncbi.nlm.nih.gov/sutils/blink.cgi?pid=119598586","0.008")</f>
        <v>0.008</v>
      </c>
      <c r="U43" s="6" t="str">
        <f>HYPERLINK("http://www.ncbi.nlm.nih.gov/protein/119598586","gi|119598586")</f>
        <v>gi|119598586</v>
      </c>
      <c r="V43" s="6">
        <v>41.6</v>
      </c>
      <c r="W43" s="6">
        <v>68</v>
      </c>
      <c r="X43" s="6">
        <v>644</v>
      </c>
      <c r="Y43" s="6">
        <v>31</v>
      </c>
      <c r="Z43" s="6">
        <v>11</v>
      </c>
      <c r="AA43" s="6">
        <v>47</v>
      </c>
      <c r="AB43" s="6">
        <v>6</v>
      </c>
      <c r="AC43" s="6">
        <v>262</v>
      </c>
      <c r="AD43" s="6">
        <v>29</v>
      </c>
      <c r="AE43" s="6">
        <v>1</v>
      </c>
      <c r="AG43" s="6" t="s">
        <v>13</v>
      </c>
      <c r="AH43" s="6" t="s">
        <v>51</v>
      </c>
      <c r="AI43" s="6" t="s">
        <v>68</v>
      </c>
      <c r="AJ43" s="6" t="str">
        <f>HYPERLINK(".\links\SWISSP\TI-532-SWISSP.txt","Sarcocystatin-A OS=Sarcophaga peregrina PE=1 SV=1")</f>
        <v>Sarcocystatin-A OS=Sarcophaga peregrina PE=1 SV=1</v>
      </c>
      <c r="AK43" s="6" t="str">
        <f>HYPERLINK("http://www.uniprot.org/uniprot/P31727","9E-005")</f>
        <v>9E-005</v>
      </c>
      <c r="AL43" s="6" t="s">
        <v>247</v>
      </c>
      <c r="AM43" s="6">
        <v>45.4</v>
      </c>
      <c r="AN43" s="6">
        <v>96</v>
      </c>
      <c r="AO43" s="6">
        <v>122</v>
      </c>
      <c r="AP43" s="6">
        <v>29</v>
      </c>
      <c r="AQ43" s="6">
        <v>80</v>
      </c>
      <c r="AR43" s="6">
        <v>70</v>
      </c>
      <c r="AS43" s="6">
        <v>7</v>
      </c>
      <c r="AT43" s="6">
        <v>3</v>
      </c>
      <c r="AU43" s="6">
        <v>11</v>
      </c>
      <c r="AV43" s="6">
        <v>1</v>
      </c>
      <c r="AW43" s="6" t="s">
        <v>248</v>
      </c>
      <c r="AX43" s="6" t="str">
        <f>HYPERLINK(".\links\PREV-RHOD-PEP\TI-532-PREV-RHOD-PEP.txt","Contig18034_95")</f>
        <v>Contig18034_95</v>
      </c>
      <c r="AY43" s="8">
        <v>1.9999999999999999E-34</v>
      </c>
      <c r="AZ43" s="6" t="s">
        <v>1127</v>
      </c>
      <c r="BA43" s="6">
        <v>140</v>
      </c>
      <c r="BB43" s="6">
        <v>111</v>
      </c>
      <c r="BC43" s="6">
        <v>470</v>
      </c>
      <c r="BD43" s="6">
        <v>58</v>
      </c>
      <c r="BE43" s="6">
        <v>24</v>
      </c>
      <c r="BF43" s="6">
        <v>47</v>
      </c>
      <c r="BG43" s="6">
        <v>0</v>
      </c>
      <c r="BH43" s="6">
        <v>1</v>
      </c>
      <c r="BI43" s="6">
        <v>5</v>
      </c>
      <c r="BJ43" s="6">
        <v>1</v>
      </c>
      <c r="BK43" s="6" t="s">
        <v>858</v>
      </c>
      <c r="BL43" s="6">
        <f>HYPERLINK(".\links\GO\TI-532-GO.txt",0.008)</f>
        <v>8.0000000000000002E-3</v>
      </c>
      <c r="BM43" s="6" t="s">
        <v>859</v>
      </c>
      <c r="BN43" s="6" t="s">
        <v>340</v>
      </c>
      <c r="BO43" s="6" t="s">
        <v>341</v>
      </c>
      <c r="BP43" s="6" t="s">
        <v>860</v>
      </c>
      <c r="BQ43" s="6">
        <v>8.0000000000000002E-3</v>
      </c>
      <c r="BR43" s="6" t="s">
        <v>861</v>
      </c>
      <c r="BS43" s="6" t="s">
        <v>501</v>
      </c>
      <c r="BT43" s="6" t="s">
        <v>752</v>
      </c>
      <c r="BU43" s="6" t="s">
        <v>862</v>
      </c>
      <c r="BV43" s="6">
        <v>8.0000000000000002E-3</v>
      </c>
      <c r="BW43" s="6" t="s">
        <v>863</v>
      </c>
      <c r="BX43" s="6" t="s">
        <v>340</v>
      </c>
      <c r="BY43" s="6" t="s">
        <v>341</v>
      </c>
      <c r="BZ43" s="6" t="s">
        <v>864</v>
      </c>
      <c r="CA43" s="6">
        <v>8.0000000000000002E-3</v>
      </c>
      <c r="CB43" s="6" t="s">
        <v>8</v>
      </c>
      <c r="CE43" s="6" t="s">
        <v>8</v>
      </c>
      <c r="CH43" s="6" t="s">
        <v>8</v>
      </c>
      <c r="CJ43" s="6" t="s">
        <v>8</v>
      </c>
      <c r="CL43" s="6" t="s">
        <v>8</v>
      </c>
      <c r="CN43" s="6" t="s">
        <v>8</v>
      </c>
      <c r="DB43" s="6" t="s">
        <v>8</v>
      </c>
    </row>
    <row r="44" spans="1:119" s="6" customFormat="1">
      <c r="A44" s="6" t="str">
        <f>HYPERLINK(".\links\pep\TI-525-pep.txt","TI-525")</f>
        <v>TI-525</v>
      </c>
      <c r="B44" s="6">
        <v>525</v>
      </c>
      <c r="C44" s="6" t="s">
        <v>23</v>
      </c>
      <c r="D44" s="6">
        <v>217</v>
      </c>
      <c r="E44" s="6">
        <v>0</v>
      </c>
      <c r="F44" s="6" t="str">
        <f>HYPERLINK(".\links\cds\TI-525-cds.txt","TI-525")</f>
        <v>TI-525</v>
      </c>
      <c r="G44" s="6">
        <v>654</v>
      </c>
      <c r="I44" s="6" t="s">
        <v>8</v>
      </c>
      <c r="J44" s="6" t="s">
        <v>6</v>
      </c>
      <c r="K44" s="6">
        <v>3</v>
      </c>
      <c r="L44" s="6">
        <v>4</v>
      </c>
      <c r="M44" s="6">
        <f t="shared" si="0"/>
        <v>1</v>
      </c>
      <c r="N44" s="6" t="s">
        <v>1170</v>
      </c>
      <c r="O44" s="6" t="s">
        <v>1171</v>
      </c>
      <c r="S44" s="6" t="str">
        <f>HYPERLINK(".\links\NR-LIGHT\TI-525-NR-LIGHT.txt","hypothetical protein")</f>
        <v>hypothetical protein</v>
      </c>
      <c r="T44" s="6" t="str">
        <f>HYPERLINK("http://www.ncbi.nlm.nih.gov/sutils/blink.cgi?pid=156544907","1E-010")</f>
        <v>1E-010</v>
      </c>
      <c r="U44" s="6" t="str">
        <f>HYPERLINK("http://www.ncbi.nlm.nih.gov/protein/156544907","gi|156544907")</f>
        <v>gi|156544907</v>
      </c>
      <c r="V44" s="6">
        <v>68.900000000000006</v>
      </c>
      <c r="W44" s="6">
        <v>1258</v>
      </c>
      <c r="X44" s="6">
        <v>1493</v>
      </c>
      <c r="Y44" s="6">
        <v>25</v>
      </c>
      <c r="Z44" s="6">
        <v>84</v>
      </c>
      <c r="AA44" s="6">
        <v>145</v>
      </c>
      <c r="AB44" s="6">
        <v>6</v>
      </c>
      <c r="AC44" s="6">
        <v>229</v>
      </c>
      <c r="AD44" s="6">
        <v>20</v>
      </c>
      <c r="AE44" s="6">
        <v>3</v>
      </c>
      <c r="AG44" s="6" t="s">
        <v>13</v>
      </c>
      <c r="AH44" s="6" t="s">
        <v>51</v>
      </c>
      <c r="AI44" s="6" t="s">
        <v>274</v>
      </c>
      <c r="AJ44" s="6" t="s">
        <v>8</v>
      </c>
      <c r="AX44" s="6" t="str">
        <f>HYPERLINK(".\links\PREV-RHOD-PEP\TI-525-PREV-RHOD-PEP.txt","Contig17849_53")</f>
        <v>Contig17849_53</v>
      </c>
      <c r="AY44" s="8">
        <v>1.9999999999999999E-75</v>
      </c>
      <c r="AZ44" s="6" t="s">
        <v>1038</v>
      </c>
      <c r="BA44" s="6">
        <v>278</v>
      </c>
      <c r="BB44" s="6">
        <v>375</v>
      </c>
      <c r="BC44" s="6">
        <v>424</v>
      </c>
      <c r="BD44" s="6">
        <v>60</v>
      </c>
      <c r="BE44" s="6">
        <v>89</v>
      </c>
      <c r="BF44" s="6">
        <v>80</v>
      </c>
      <c r="BG44" s="6">
        <v>0</v>
      </c>
      <c r="BH44" s="6">
        <v>49</v>
      </c>
      <c r="BI44" s="6">
        <v>15</v>
      </c>
      <c r="BJ44" s="6">
        <v>2</v>
      </c>
      <c r="BK44" s="6" t="s">
        <v>8</v>
      </c>
      <c r="CB44" s="6" t="s">
        <v>8</v>
      </c>
      <c r="CE44" s="6" t="s">
        <v>8</v>
      </c>
      <c r="CH44" s="6" t="s">
        <v>8</v>
      </c>
      <c r="CJ44" s="6" t="s">
        <v>8</v>
      </c>
      <c r="CL44" s="6" t="s">
        <v>8</v>
      </c>
      <c r="CN44" s="6" t="s">
        <v>8</v>
      </c>
      <c r="DB44" s="6" t="s">
        <v>8</v>
      </c>
    </row>
    <row r="45" spans="1:119" s="6" customFormat="1">
      <c r="A45" s="6" t="str">
        <f>HYPERLINK(".\links\pep\TI-524-pep.txt","TI-524")</f>
        <v>TI-524</v>
      </c>
      <c r="B45" s="6">
        <v>524</v>
      </c>
      <c r="C45" s="6" t="s">
        <v>23</v>
      </c>
      <c r="D45" s="6">
        <v>211</v>
      </c>
      <c r="E45" s="6">
        <v>0</v>
      </c>
      <c r="F45" s="6" t="str">
        <f>HYPERLINK(".\links\cds\TI-524-cds.txt","TI-524")</f>
        <v>TI-524</v>
      </c>
      <c r="G45" s="6">
        <v>636</v>
      </c>
      <c r="I45" s="6" t="s">
        <v>8</v>
      </c>
      <c r="J45" s="6" t="s">
        <v>6</v>
      </c>
      <c r="K45" s="6">
        <v>0</v>
      </c>
      <c r="L45" s="6">
        <v>3</v>
      </c>
      <c r="M45" s="6">
        <f t="shared" si="0"/>
        <v>3</v>
      </c>
      <c r="N45" s="6" t="s">
        <v>1170</v>
      </c>
      <c r="O45" s="6" t="s">
        <v>1171</v>
      </c>
      <c r="S45" s="6" t="str">
        <f>HYPERLINK(".\links\NR-LIGHT\TI-524-NR-LIGHT.txt","hypothetical protein")</f>
        <v>hypothetical protein</v>
      </c>
      <c r="T45" s="6" t="str">
        <f>HYPERLINK("http://www.ncbi.nlm.nih.gov/sutils/blink.cgi?pid=156544907","1E-007")</f>
        <v>1E-007</v>
      </c>
      <c r="U45" s="6" t="str">
        <f>HYPERLINK("http://www.ncbi.nlm.nih.gov/protein/156544907","gi|156544907")</f>
        <v>gi|156544907</v>
      </c>
      <c r="V45" s="6">
        <v>58.9</v>
      </c>
      <c r="W45" s="6">
        <v>589</v>
      </c>
      <c r="X45" s="6">
        <v>1493</v>
      </c>
      <c r="Y45" s="6">
        <v>23</v>
      </c>
      <c r="Z45" s="6">
        <v>40</v>
      </c>
      <c r="AA45" s="6">
        <v>149</v>
      </c>
      <c r="AB45" s="6">
        <v>6</v>
      </c>
      <c r="AC45" s="6">
        <v>898</v>
      </c>
      <c r="AD45" s="6">
        <v>13</v>
      </c>
      <c r="AE45" s="6">
        <v>2</v>
      </c>
      <c r="AG45" s="6" t="s">
        <v>13</v>
      </c>
      <c r="AH45" s="6" t="s">
        <v>51</v>
      </c>
      <c r="AI45" s="6" t="s">
        <v>274</v>
      </c>
      <c r="AJ45" s="6" t="s">
        <v>8</v>
      </c>
      <c r="AX45" s="6" t="str">
        <f>HYPERLINK(".\links\PREV-RHOD-PEP\TI-524-PREV-RHOD-PEP.txt","Contig17849_53")</f>
        <v>Contig17849_53</v>
      </c>
      <c r="AY45" s="8">
        <v>4E-70</v>
      </c>
      <c r="AZ45" s="6" t="s">
        <v>1038</v>
      </c>
      <c r="BA45" s="6">
        <v>260</v>
      </c>
      <c r="BB45" s="6">
        <v>395</v>
      </c>
      <c r="BC45" s="6">
        <v>424</v>
      </c>
      <c r="BD45" s="6">
        <v>58</v>
      </c>
      <c r="BE45" s="6">
        <v>93</v>
      </c>
      <c r="BF45" s="6">
        <v>85</v>
      </c>
      <c r="BG45" s="6">
        <v>0</v>
      </c>
      <c r="BH45" s="6">
        <v>29</v>
      </c>
      <c r="BI45" s="6">
        <v>9</v>
      </c>
      <c r="BJ45" s="6">
        <v>2</v>
      </c>
      <c r="BK45" s="6" t="s">
        <v>8</v>
      </c>
      <c r="CB45" s="6" t="s">
        <v>8</v>
      </c>
      <c r="CE45" s="6" t="s">
        <v>8</v>
      </c>
      <c r="CH45" s="6" t="s">
        <v>8</v>
      </c>
      <c r="CJ45" s="6" t="s">
        <v>8</v>
      </c>
      <c r="CL45" s="6" t="s">
        <v>8</v>
      </c>
      <c r="CN45" s="6" t="s">
        <v>8</v>
      </c>
      <c r="DB45" s="6" t="s">
        <v>8</v>
      </c>
    </row>
    <row r="46" spans="1:119" s="6" customFormat="1">
      <c r="A46" t="str">
        <f>HYPERLINK(".\links\pep\TI-519-pep.txt","TI-519")</f>
        <v>TI-519</v>
      </c>
      <c r="B46">
        <v>519</v>
      </c>
      <c r="C46" t="s">
        <v>19</v>
      </c>
      <c r="D46">
        <v>222</v>
      </c>
      <c r="E46">
        <v>0</v>
      </c>
      <c r="F46" t="str">
        <f>HYPERLINK(".\links\cds\TI-519-cds.txt","TI-519")</f>
        <v>TI-519</v>
      </c>
      <c r="G46">
        <v>663</v>
      </c>
      <c r="H46"/>
      <c r="I46" t="s">
        <v>8</v>
      </c>
      <c r="J46" t="s">
        <v>8</v>
      </c>
      <c r="K46">
        <v>0</v>
      </c>
      <c r="L46">
        <v>1</v>
      </c>
      <c r="M46">
        <f t="shared" si="0"/>
        <v>1</v>
      </c>
      <c r="N46" t="s">
        <v>1231</v>
      </c>
      <c r="O46" t="s">
        <v>1180</v>
      </c>
      <c r="P46" t="str">
        <f>HYPERLINK(".\links\NR-LIGHT\TI-519-NR-LIGHT.txt","NR-LIGHT")</f>
        <v>NR-LIGHT</v>
      </c>
      <c r="Q46">
        <v>4.0000000000000001E-13</v>
      </c>
      <c r="R46">
        <v>12.9</v>
      </c>
      <c r="S46" t="str">
        <f>HYPERLINK(".\links\NR-LIGHT\TI-519-NR-LIGHT.txt","reverse transcriptase")</f>
        <v>reverse transcriptase</v>
      </c>
      <c r="T46" t="str">
        <f>HYPERLINK("http://www.ncbi.nlm.nih.gov/sutils/blink.cgi?pid=40457592","4E-013")</f>
        <v>4E-013</v>
      </c>
      <c r="U46" t="str">
        <f>HYPERLINK("http://www.ncbi.nlm.nih.gov/protein/40457592","gi|40457592")</f>
        <v>gi|40457592</v>
      </c>
      <c r="V46">
        <v>77</v>
      </c>
      <c r="W46">
        <v>110</v>
      </c>
      <c r="X46">
        <v>857</v>
      </c>
      <c r="Y46">
        <v>39</v>
      </c>
      <c r="Z46">
        <v>13</v>
      </c>
      <c r="AA46">
        <v>67</v>
      </c>
      <c r="AB46">
        <v>0</v>
      </c>
      <c r="AC46">
        <v>277</v>
      </c>
      <c r="AD46">
        <v>86</v>
      </c>
      <c r="AE46">
        <v>1</v>
      </c>
      <c r="AF46"/>
      <c r="AG46" t="s">
        <v>13</v>
      </c>
      <c r="AH46" t="s">
        <v>51</v>
      </c>
      <c r="AI46" t="s">
        <v>52</v>
      </c>
      <c r="AJ46" t="s">
        <v>8</v>
      </c>
      <c r="AK46"/>
      <c r="AL46"/>
      <c r="AM46"/>
      <c r="AN46"/>
      <c r="AO46"/>
      <c r="AP46"/>
      <c r="AQ46"/>
      <c r="AR46"/>
      <c r="AS46"/>
      <c r="AT46"/>
      <c r="AU46"/>
      <c r="AV46"/>
      <c r="AW46"/>
      <c r="AX46" t="s">
        <v>8</v>
      </c>
      <c r="AY46"/>
      <c r="AZ46"/>
      <c r="BA46"/>
      <c r="BB46"/>
      <c r="BC46"/>
      <c r="BD46"/>
      <c r="BE46"/>
      <c r="BF46"/>
      <c r="BG46"/>
      <c r="BH46"/>
      <c r="BI46"/>
      <c r="BJ46"/>
      <c r="BK46" t="s">
        <v>8</v>
      </c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 t="s">
        <v>8</v>
      </c>
      <c r="CC46"/>
      <c r="CD46"/>
      <c r="CE46" t="s">
        <v>8</v>
      </c>
      <c r="CF46"/>
      <c r="CG46"/>
      <c r="CH46" t="s">
        <v>8</v>
      </c>
      <c r="CI46"/>
      <c r="CJ46" t="s">
        <v>8</v>
      </c>
      <c r="CK46"/>
      <c r="CL46" t="s">
        <v>8</v>
      </c>
      <c r="CM46"/>
      <c r="CN46" t="s">
        <v>8</v>
      </c>
      <c r="CO46"/>
      <c r="CP46"/>
      <c r="CQ46"/>
      <c r="CR46"/>
      <c r="CS46"/>
      <c r="CT46"/>
      <c r="CU46"/>
      <c r="CV46"/>
      <c r="CW46"/>
      <c r="CX46"/>
      <c r="CY46"/>
      <c r="CZ46"/>
      <c r="DA46"/>
      <c r="DB46" t="s">
        <v>8</v>
      </c>
      <c r="DC46"/>
      <c r="DD46"/>
      <c r="DE46"/>
      <c r="DF46"/>
      <c r="DG46"/>
      <c r="DH46"/>
      <c r="DI46"/>
      <c r="DJ46"/>
      <c r="DK46"/>
      <c r="DL46"/>
      <c r="DM46"/>
      <c r="DN46"/>
      <c r="DO46"/>
    </row>
    <row r="47" spans="1:119" s="6" customFormat="1">
      <c r="A47" s="6" t="str">
        <f>HYPERLINK(".\links\pep\TI-518-pep.txt","TI-518")</f>
        <v>TI-518</v>
      </c>
      <c r="B47" s="6">
        <v>518</v>
      </c>
      <c r="C47" s="6" t="s">
        <v>13</v>
      </c>
      <c r="D47" s="6">
        <v>35</v>
      </c>
      <c r="E47" s="6">
        <v>0</v>
      </c>
      <c r="F47" s="6" t="str">
        <f>HYPERLINK(".\links\cds\TI-518-cds.txt","TI-518")</f>
        <v>TI-518</v>
      </c>
      <c r="G47" s="6">
        <v>108</v>
      </c>
      <c r="I47" s="6" t="s">
        <v>8</v>
      </c>
      <c r="J47" s="6" t="s">
        <v>6</v>
      </c>
      <c r="K47" s="6">
        <v>0</v>
      </c>
      <c r="L47" s="6">
        <v>1</v>
      </c>
      <c r="M47" s="6">
        <f t="shared" si="0"/>
        <v>1</v>
      </c>
      <c r="N47" s="6" t="s">
        <v>1170</v>
      </c>
      <c r="O47" s="6" t="s">
        <v>1171</v>
      </c>
      <c r="S47" s="6" t="s">
        <v>8</v>
      </c>
      <c r="AJ47" s="6" t="s">
        <v>8</v>
      </c>
      <c r="AX47" s="6" t="s">
        <v>8</v>
      </c>
      <c r="BK47" s="6" t="s">
        <v>8</v>
      </c>
      <c r="CB47" s="6" t="s">
        <v>8</v>
      </c>
      <c r="CE47" s="6" t="s">
        <v>8</v>
      </c>
      <c r="CH47" s="6" t="s">
        <v>8</v>
      </c>
      <c r="CJ47" s="6" t="s">
        <v>8</v>
      </c>
      <c r="CL47" s="6" t="s">
        <v>8</v>
      </c>
      <c r="CN47" s="6" t="s">
        <v>8</v>
      </c>
      <c r="DB47" s="6" t="s">
        <v>8</v>
      </c>
    </row>
    <row r="48" spans="1:119" s="6" customFormat="1">
      <c r="A48" s="6" t="str">
        <f>HYPERLINK(".\links\pep\TI-515-pep.txt","TI-515")</f>
        <v>TI-515</v>
      </c>
      <c r="B48" s="6">
        <v>515</v>
      </c>
      <c r="C48" s="6" t="s">
        <v>26</v>
      </c>
      <c r="D48" s="6">
        <v>123</v>
      </c>
      <c r="E48" s="6">
        <v>0</v>
      </c>
      <c r="F48" s="6" t="str">
        <f>HYPERLINK(".\links\cds\TI-515-cds.txt","TI-515")</f>
        <v>TI-515</v>
      </c>
      <c r="G48" s="6">
        <v>372</v>
      </c>
      <c r="I48" s="6" t="s">
        <v>8</v>
      </c>
      <c r="J48" s="6" t="s">
        <v>6</v>
      </c>
      <c r="K48" s="6">
        <v>0</v>
      </c>
      <c r="L48" s="6">
        <v>1</v>
      </c>
      <c r="M48" s="6">
        <f t="shared" si="0"/>
        <v>1</v>
      </c>
      <c r="N48" s="6" t="s">
        <v>1170</v>
      </c>
      <c r="O48" s="6" t="s">
        <v>1171</v>
      </c>
      <c r="S48" s="6" t="str">
        <f>HYPERLINK(".\links\NR-LIGHT\TI-515-NR-LIGHT.txt","sister chromatid cohesion protein PDS5 homolog B-B-like")</f>
        <v>sister chromatid cohesion protein PDS5 homolog B-B-like</v>
      </c>
      <c r="T48" s="6" t="str">
        <f>HYPERLINK("http://www.ncbi.nlm.nih.gov/sutils/blink.cgi?pid=193603334","0.85")</f>
        <v>0.85</v>
      </c>
      <c r="U48" s="6" t="str">
        <f>HYPERLINK("http://www.ncbi.nlm.nih.gov/protein/193603334","gi|193603334")</f>
        <v>gi|193603334</v>
      </c>
      <c r="V48" s="6">
        <v>34.700000000000003</v>
      </c>
      <c r="W48" s="6">
        <v>68</v>
      </c>
      <c r="X48" s="6">
        <v>1203</v>
      </c>
      <c r="Y48" s="6">
        <v>36</v>
      </c>
      <c r="Z48" s="6">
        <v>6</v>
      </c>
      <c r="AA48" s="6">
        <v>46</v>
      </c>
      <c r="AB48" s="6">
        <v>4</v>
      </c>
      <c r="AC48" s="6">
        <v>723</v>
      </c>
      <c r="AD48" s="6">
        <v>41</v>
      </c>
      <c r="AE48" s="6">
        <v>1</v>
      </c>
      <c r="AG48" s="6" t="s">
        <v>13</v>
      </c>
      <c r="AH48" s="6" t="s">
        <v>51</v>
      </c>
      <c r="AI48" s="6" t="s">
        <v>264</v>
      </c>
      <c r="AJ48" s="6" t="s">
        <v>8</v>
      </c>
      <c r="AX48" s="6" t="str">
        <f>HYPERLINK(".\links\PREV-RHOD-PEP\TI-515-PREV-RHOD-PEP.txt","Contig7471_2")</f>
        <v>Contig7471_2</v>
      </c>
      <c r="AY48" s="8">
        <v>3.9999999999999997E-24</v>
      </c>
      <c r="AZ48" s="6" t="s">
        <v>1069</v>
      </c>
      <c r="BA48" s="6">
        <v>106</v>
      </c>
      <c r="BB48" s="6">
        <v>127</v>
      </c>
      <c r="BC48" s="6">
        <v>410</v>
      </c>
      <c r="BD48" s="6">
        <v>42</v>
      </c>
      <c r="BE48" s="6">
        <v>31</v>
      </c>
      <c r="BF48" s="6">
        <v>74</v>
      </c>
      <c r="BG48" s="6">
        <v>8</v>
      </c>
      <c r="BH48" s="6">
        <v>235</v>
      </c>
      <c r="BI48" s="6">
        <v>3</v>
      </c>
      <c r="BJ48" s="6">
        <v>1</v>
      </c>
      <c r="BK48" s="6" t="s">
        <v>8</v>
      </c>
      <c r="CB48" s="6" t="s">
        <v>8</v>
      </c>
      <c r="CE48" s="6" t="s">
        <v>8</v>
      </c>
      <c r="CH48" s="6" t="s">
        <v>8</v>
      </c>
      <c r="CJ48" s="6" t="s">
        <v>8</v>
      </c>
      <c r="CL48" s="6" t="s">
        <v>8</v>
      </c>
      <c r="CN48" s="6" t="s">
        <v>8</v>
      </c>
      <c r="DB48" s="6" t="s">
        <v>8</v>
      </c>
    </row>
    <row r="49" spans="1:119" s="6" customFormat="1">
      <c r="A49" s="6" t="str">
        <f>HYPERLINK(".\links\pep\TI-512-pep.txt","TI-512")</f>
        <v>TI-512</v>
      </c>
      <c r="B49" s="6">
        <v>512</v>
      </c>
      <c r="C49" s="6" t="s">
        <v>26</v>
      </c>
      <c r="D49" s="6">
        <v>185</v>
      </c>
      <c r="E49" s="6">
        <v>0</v>
      </c>
      <c r="F49" s="6" t="str">
        <f>HYPERLINK(".\links\cds\TI-512-cds.txt","TI-512")</f>
        <v>TI-512</v>
      </c>
      <c r="G49" s="6">
        <v>554</v>
      </c>
      <c r="I49" s="6" t="s">
        <v>8</v>
      </c>
      <c r="J49" s="6" t="s">
        <v>6</v>
      </c>
      <c r="K49" s="6">
        <v>0</v>
      </c>
      <c r="L49" s="6">
        <v>1</v>
      </c>
      <c r="M49" s="6">
        <f t="shared" si="0"/>
        <v>1</v>
      </c>
      <c r="N49" s="6" t="s">
        <v>1170</v>
      </c>
      <c r="O49" s="6" t="s">
        <v>1171</v>
      </c>
      <c r="S49" s="6" t="str">
        <f>HYPERLINK(".\links\NR-LIGHT\TI-512-NR-LIGHT.txt","50 kDa midgut protein")</f>
        <v>50 kDa midgut protein</v>
      </c>
      <c r="T49" s="6" t="str">
        <f>HYPERLINK("http://www.ncbi.nlm.nih.gov/sutils/blink.cgi?pid=157361569","0.006")</f>
        <v>0.006</v>
      </c>
      <c r="U49" s="6" t="str">
        <f>HYPERLINK("http://www.ncbi.nlm.nih.gov/protein/157361569","gi|157361569")</f>
        <v>gi|157361569</v>
      </c>
      <c r="V49" s="6">
        <v>42.7</v>
      </c>
      <c r="W49" s="6">
        <v>102</v>
      </c>
      <c r="X49" s="6">
        <v>440</v>
      </c>
      <c r="Y49" s="6">
        <v>29</v>
      </c>
      <c r="Z49" s="6">
        <v>23</v>
      </c>
      <c r="AA49" s="6">
        <v>73</v>
      </c>
      <c r="AB49" s="6">
        <v>1</v>
      </c>
      <c r="AC49" s="6">
        <v>263</v>
      </c>
      <c r="AD49" s="6">
        <v>82</v>
      </c>
      <c r="AE49" s="6">
        <v>1</v>
      </c>
      <c r="AG49" s="6" t="s">
        <v>13</v>
      </c>
      <c r="AH49" s="6" t="s">
        <v>51</v>
      </c>
      <c r="AI49" s="6" t="s">
        <v>292</v>
      </c>
      <c r="AJ49" s="6" t="s">
        <v>8</v>
      </c>
      <c r="AX49" s="6" t="str">
        <f>HYPERLINK(".\links\PREV-RHOD-PEP\TI-512-PREV-RHOD-PEP.txt","Contig17934_11")</f>
        <v>Contig17934_11</v>
      </c>
      <c r="AY49" s="8">
        <v>1E-42</v>
      </c>
      <c r="AZ49" s="6" t="s">
        <v>1154</v>
      </c>
      <c r="BA49" s="6">
        <v>168</v>
      </c>
      <c r="BB49" s="6">
        <v>167</v>
      </c>
      <c r="BC49" s="6">
        <v>269</v>
      </c>
      <c r="BD49" s="6">
        <v>50</v>
      </c>
      <c r="BE49" s="6">
        <v>62</v>
      </c>
      <c r="BF49" s="6">
        <v>83</v>
      </c>
      <c r="BG49" s="6">
        <v>0</v>
      </c>
      <c r="BH49" s="6">
        <v>13</v>
      </c>
      <c r="BI49" s="6">
        <v>18</v>
      </c>
      <c r="BJ49" s="6">
        <v>1</v>
      </c>
      <c r="BK49" s="6" t="s">
        <v>8</v>
      </c>
      <c r="CB49" s="6" t="s">
        <v>8</v>
      </c>
      <c r="CE49" s="6" t="s">
        <v>8</v>
      </c>
      <c r="CH49" s="6" t="s">
        <v>8</v>
      </c>
      <c r="CJ49" s="6" t="s">
        <v>8</v>
      </c>
      <c r="CL49" s="6" t="s">
        <v>8</v>
      </c>
      <c r="CN49" s="6" t="s">
        <v>8</v>
      </c>
      <c r="DB49" s="6" t="s">
        <v>8</v>
      </c>
    </row>
    <row r="50" spans="1:119" s="6" customFormat="1">
      <c r="A50" s="6" t="str">
        <f>HYPERLINK(".\links\pep\TI-51-pep.txt","TI-51")</f>
        <v>TI-51</v>
      </c>
      <c r="B50" s="6">
        <v>51</v>
      </c>
      <c r="C50" s="6" t="s">
        <v>10</v>
      </c>
      <c r="D50" s="6">
        <v>92</v>
      </c>
      <c r="E50" s="6">
        <v>0</v>
      </c>
      <c r="F50" s="6" t="str">
        <f>HYPERLINK(".\links\cds\TI-51-cds.txt","TI-51")</f>
        <v>TI-51</v>
      </c>
      <c r="G50" s="6">
        <v>279</v>
      </c>
      <c r="I50" s="6" t="s">
        <v>8</v>
      </c>
      <c r="J50" s="6" t="s">
        <v>6</v>
      </c>
      <c r="K50" s="6">
        <v>0</v>
      </c>
      <c r="L50" s="6">
        <v>1</v>
      </c>
      <c r="M50" s="6">
        <f t="shared" si="0"/>
        <v>1</v>
      </c>
      <c r="N50" s="6" t="s">
        <v>1170</v>
      </c>
      <c r="O50" s="6" t="s">
        <v>1171</v>
      </c>
      <c r="S50" s="6" t="s">
        <v>8</v>
      </c>
      <c r="AJ50" s="6" t="s">
        <v>8</v>
      </c>
      <c r="AX50" s="6" t="s">
        <v>8</v>
      </c>
      <c r="BK50" s="6" t="s">
        <v>8</v>
      </c>
      <c r="CB50" s="6" t="s">
        <v>8</v>
      </c>
      <c r="CE50" s="6" t="s">
        <v>8</v>
      </c>
      <c r="CH50" s="6" t="s">
        <v>8</v>
      </c>
      <c r="CJ50" s="6" t="s">
        <v>8</v>
      </c>
      <c r="CL50" s="6" t="s">
        <v>8</v>
      </c>
      <c r="CN50" s="6" t="s">
        <v>8</v>
      </c>
      <c r="DB50" s="6" t="s">
        <v>8</v>
      </c>
    </row>
    <row r="51" spans="1:119" s="6" customFormat="1">
      <c r="A51" t="str">
        <f>HYPERLINK(".\links\pep\TI-506-pep.txt","TI-506")</f>
        <v>TI-506</v>
      </c>
      <c r="B51">
        <v>506</v>
      </c>
      <c r="C51" t="s">
        <v>7</v>
      </c>
      <c r="D51">
        <v>146</v>
      </c>
      <c r="E51">
        <v>0</v>
      </c>
      <c r="F51" t="str">
        <f>HYPERLINK(".\links\cds\TI-506-cds.txt","TI-506")</f>
        <v>TI-506</v>
      </c>
      <c r="G51">
        <v>441</v>
      </c>
      <c r="H51"/>
      <c r="I51" t="s">
        <v>29</v>
      </c>
      <c r="J51" t="s">
        <v>6</v>
      </c>
      <c r="K51">
        <v>0</v>
      </c>
      <c r="L51">
        <v>1</v>
      </c>
      <c r="M51">
        <f t="shared" si="0"/>
        <v>1</v>
      </c>
      <c r="N51" t="s">
        <v>1345</v>
      </c>
      <c r="O51" t="s">
        <v>1178</v>
      </c>
      <c r="P51" t="str">
        <f>HYPERLINK(".\links\NR-LIGHT\TI-506-NR-LIGHT.txt","NR-LIGHT")</f>
        <v>NR-LIGHT</v>
      </c>
      <c r="Q51">
        <v>9.9999999999999994E-12</v>
      </c>
      <c r="R51">
        <v>40</v>
      </c>
      <c r="S51" t="str">
        <f>HYPERLINK(".\links\NR-LIGHT\TI-506-NR-LIGHT.txt","similar to nucleoporin 50kDa")</f>
        <v>similar to nucleoporin 50kDa</v>
      </c>
      <c r="T51" t="str">
        <f>HYPERLINK("http://www.ncbi.nlm.nih.gov/sutils/blink.cgi?pid=91081011","1E-011")</f>
        <v>1E-011</v>
      </c>
      <c r="U51" t="str">
        <f>HYPERLINK("http://www.ncbi.nlm.nih.gov/protein/91081011","gi|91081011")</f>
        <v>gi|91081011</v>
      </c>
      <c r="V51">
        <v>70.900000000000006</v>
      </c>
      <c r="W51">
        <v>126</v>
      </c>
      <c r="X51">
        <v>365</v>
      </c>
      <c r="Y51">
        <v>37</v>
      </c>
      <c r="Z51">
        <v>35</v>
      </c>
      <c r="AA51">
        <v>91</v>
      </c>
      <c r="AB51">
        <v>23</v>
      </c>
      <c r="AC51">
        <v>1</v>
      </c>
      <c r="AD51">
        <v>1</v>
      </c>
      <c r="AE51">
        <v>1</v>
      </c>
      <c r="AF51"/>
      <c r="AG51" t="s">
        <v>13</v>
      </c>
      <c r="AH51" t="s">
        <v>51</v>
      </c>
      <c r="AI51" t="s">
        <v>266</v>
      </c>
      <c r="AJ51" t="s">
        <v>8</v>
      </c>
      <c r="AK51"/>
      <c r="AL51"/>
      <c r="AM51"/>
      <c r="AN51"/>
      <c r="AO51"/>
      <c r="AP51"/>
      <c r="AQ51"/>
      <c r="AR51"/>
      <c r="AS51"/>
      <c r="AT51"/>
      <c r="AU51"/>
      <c r="AV51"/>
      <c r="AW51"/>
      <c r="AX51" t="str">
        <f>HYPERLINK(".\links\PREV-RHOD-PEP\TI-506-PREV-RHOD-PEP.txt","Contig17350_13")</f>
        <v>Contig17350_13</v>
      </c>
      <c r="AY51" s="3">
        <v>1.9999999999999999E-49</v>
      </c>
      <c r="AZ51" t="s">
        <v>1153</v>
      </c>
      <c r="BA51">
        <v>190</v>
      </c>
      <c r="BB51">
        <v>145</v>
      </c>
      <c r="BC51">
        <v>426</v>
      </c>
      <c r="BD51">
        <v>67</v>
      </c>
      <c r="BE51">
        <v>34</v>
      </c>
      <c r="BF51">
        <v>48</v>
      </c>
      <c r="BG51">
        <v>0</v>
      </c>
      <c r="BH51">
        <v>1</v>
      </c>
      <c r="BI51">
        <v>1</v>
      </c>
      <c r="BJ51">
        <v>1</v>
      </c>
      <c r="BK51" t="s">
        <v>8</v>
      </c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 t="s">
        <v>8</v>
      </c>
      <c r="CC51"/>
      <c r="CD51"/>
      <c r="CE51" t="s">
        <v>8</v>
      </c>
      <c r="CF51"/>
      <c r="CG51"/>
      <c r="CH51" t="s">
        <v>8</v>
      </c>
      <c r="CI51"/>
      <c r="CJ51" t="s">
        <v>8</v>
      </c>
      <c r="CK51"/>
      <c r="CL51" t="s">
        <v>8</v>
      </c>
      <c r="CM51"/>
      <c r="CN51" t="s">
        <v>8</v>
      </c>
      <c r="CO51"/>
      <c r="CP51"/>
      <c r="CQ51"/>
      <c r="CR51"/>
      <c r="CS51"/>
      <c r="CT51"/>
      <c r="CU51"/>
      <c r="CV51"/>
      <c r="CW51"/>
      <c r="CX51"/>
      <c r="CY51"/>
      <c r="CZ51"/>
      <c r="DA51"/>
      <c r="DB51" t="s">
        <v>8</v>
      </c>
      <c r="DC51"/>
      <c r="DD51"/>
      <c r="DE51"/>
      <c r="DF51"/>
      <c r="DG51"/>
      <c r="DH51"/>
      <c r="DI51"/>
      <c r="DJ51"/>
      <c r="DK51"/>
      <c r="DL51"/>
      <c r="DM51"/>
      <c r="DN51"/>
      <c r="DO51"/>
    </row>
    <row r="52" spans="1:119" s="6" customFormat="1">
      <c r="A52" s="6" t="str">
        <f>HYPERLINK(".\links\pep\TI-505-pep.txt","TI-505")</f>
        <v>TI-505</v>
      </c>
      <c r="B52" s="6">
        <v>505</v>
      </c>
      <c r="C52" s="6" t="s">
        <v>27</v>
      </c>
      <c r="D52" s="6">
        <v>26</v>
      </c>
      <c r="E52" s="6">
        <v>0</v>
      </c>
      <c r="F52" s="6" t="str">
        <f>HYPERLINK(".\links\cds\TI-505-cds.txt","TI-505")</f>
        <v>TI-505</v>
      </c>
      <c r="G52" s="6">
        <v>81</v>
      </c>
      <c r="I52" s="6" t="s">
        <v>8</v>
      </c>
      <c r="J52" s="6" t="s">
        <v>6</v>
      </c>
      <c r="K52" s="6">
        <v>0</v>
      </c>
      <c r="L52" s="6">
        <v>1</v>
      </c>
      <c r="M52" s="6">
        <f t="shared" si="0"/>
        <v>1</v>
      </c>
      <c r="N52" s="6" t="s">
        <v>1170</v>
      </c>
      <c r="O52" s="6" t="s">
        <v>1171</v>
      </c>
      <c r="S52" s="6" t="s">
        <v>8</v>
      </c>
      <c r="AJ52" s="6" t="s">
        <v>8</v>
      </c>
      <c r="AX52" s="6" t="s">
        <v>8</v>
      </c>
      <c r="BK52" s="6" t="s">
        <v>8</v>
      </c>
      <c r="CB52" s="6" t="s">
        <v>8</v>
      </c>
      <c r="CE52" s="6" t="s">
        <v>8</v>
      </c>
      <c r="CH52" s="6" t="s">
        <v>8</v>
      </c>
      <c r="CJ52" s="6" t="s">
        <v>8</v>
      </c>
      <c r="CL52" s="6" t="s">
        <v>8</v>
      </c>
      <c r="CN52" s="6" t="s">
        <v>8</v>
      </c>
      <c r="DB52" s="6" t="s">
        <v>8</v>
      </c>
    </row>
    <row r="53" spans="1:119" s="6" customFormat="1">
      <c r="A53" t="str">
        <f>HYPERLINK(".\links\pep\TI-502-pep.txt","TI-502")</f>
        <v>TI-502</v>
      </c>
      <c r="B53">
        <v>502</v>
      </c>
      <c r="C53" t="s">
        <v>28</v>
      </c>
      <c r="D53">
        <v>89</v>
      </c>
      <c r="E53" s="2">
        <v>1.1235949999999999</v>
      </c>
      <c r="F53" t="str">
        <f>HYPERLINK(".\links\cds\TI-502-cds.txt","TI-502")</f>
        <v>TI-502</v>
      </c>
      <c r="G53">
        <v>270</v>
      </c>
      <c r="H53"/>
      <c r="I53" t="s">
        <v>8</v>
      </c>
      <c r="J53" t="s">
        <v>6</v>
      </c>
      <c r="K53">
        <v>0</v>
      </c>
      <c r="L53">
        <v>1</v>
      </c>
      <c r="M53">
        <f t="shared" si="0"/>
        <v>1</v>
      </c>
      <c r="N53" t="s">
        <v>1344</v>
      </c>
      <c r="O53" t="s">
        <v>1169</v>
      </c>
      <c r="P53" t="str">
        <f>HYPERLINK(".\links\NR-LIGHT\TI-502-NR-LIGHT.txt","NR-LIGHT")</f>
        <v>NR-LIGHT</v>
      </c>
      <c r="Q53" s="3">
        <v>2.0000000000000001E-33</v>
      </c>
      <c r="R53">
        <v>45.3</v>
      </c>
      <c r="S53" t="str">
        <f>HYPERLINK(".\links\NR-LIGHT\TI-502-NR-LIGHT.txt","40S ribosomal protein S7-like")</f>
        <v>40S ribosomal protein S7-like</v>
      </c>
      <c r="T53" t="str">
        <f>HYPERLINK("http://www.ncbi.nlm.nih.gov/sutils/blink.cgi?pid=285002187","2E-033")</f>
        <v>2E-033</v>
      </c>
      <c r="U53" t="str">
        <f>HYPERLINK("http://www.ncbi.nlm.nih.gov/protein/285002187","gi|285002187")</f>
        <v>gi|285002187</v>
      </c>
      <c r="V53">
        <v>142</v>
      </c>
      <c r="W53">
        <v>87</v>
      </c>
      <c r="X53">
        <v>194</v>
      </c>
      <c r="Y53">
        <v>76</v>
      </c>
      <c r="Z53">
        <v>45</v>
      </c>
      <c r="AA53">
        <v>21</v>
      </c>
      <c r="AB53">
        <v>0</v>
      </c>
      <c r="AC53">
        <v>107</v>
      </c>
      <c r="AD53">
        <v>2</v>
      </c>
      <c r="AE53">
        <v>1</v>
      </c>
      <c r="AF53"/>
      <c r="AG53" t="s">
        <v>13</v>
      </c>
      <c r="AH53" t="s">
        <v>51</v>
      </c>
      <c r="AI53" t="s">
        <v>264</v>
      </c>
      <c r="AJ53" t="str">
        <f>HYPERLINK(".\links\SWISSP\TI-502-SWISSP.txt","40S ribosomal protein S7 OS=Spodoptera frugiperda GN=RpS7 PE=2 SV=1")</f>
        <v>40S ribosomal protein S7 OS=Spodoptera frugiperda GN=RpS7 PE=2 SV=1</v>
      </c>
      <c r="AK53" t="str">
        <f>HYPERLINK("http://www.uniprot.org/uniprot/Q962S0","6E-033")</f>
        <v>6E-033</v>
      </c>
      <c r="AL53" t="s">
        <v>108</v>
      </c>
      <c r="AM53">
        <v>139</v>
      </c>
      <c r="AN53">
        <v>87</v>
      </c>
      <c r="AO53">
        <v>190</v>
      </c>
      <c r="AP53">
        <v>76</v>
      </c>
      <c r="AQ53">
        <v>46</v>
      </c>
      <c r="AR53">
        <v>21</v>
      </c>
      <c r="AS53">
        <v>0</v>
      </c>
      <c r="AT53">
        <v>103</v>
      </c>
      <c r="AU53">
        <v>2</v>
      </c>
      <c r="AV53">
        <v>1</v>
      </c>
      <c r="AW53" t="s">
        <v>58</v>
      </c>
      <c r="AX53" t="str">
        <f>HYPERLINK(".\links\PREV-RHOD-PEP\TI-502-PREV-RHOD-PEP.txt","Contig17830_55")</f>
        <v>Contig17830_55</v>
      </c>
      <c r="AY53" s="3">
        <v>4.9999999999999996E-40</v>
      </c>
      <c r="AZ53" t="s">
        <v>1024</v>
      </c>
      <c r="BA53">
        <v>159</v>
      </c>
      <c r="BB53">
        <v>87</v>
      </c>
      <c r="BC53">
        <v>193</v>
      </c>
      <c r="BD53">
        <v>88</v>
      </c>
      <c r="BE53">
        <v>46</v>
      </c>
      <c r="BF53">
        <v>10</v>
      </c>
      <c r="BG53">
        <v>0</v>
      </c>
      <c r="BH53">
        <v>106</v>
      </c>
      <c r="BI53">
        <v>2</v>
      </c>
      <c r="BJ53">
        <v>1</v>
      </c>
      <c r="BK53" t="s">
        <v>512</v>
      </c>
      <c r="BL53">
        <f>HYPERLINK(".\links\GO\TI-502-GO.txt",6E-29)</f>
        <v>6.0000000000000005E-29</v>
      </c>
      <c r="BM53" t="s">
        <v>373</v>
      </c>
      <c r="BN53" t="s">
        <v>373</v>
      </c>
      <c r="BO53"/>
      <c r="BP53" t="s">
        <v>374</v>
      </c>
      <c r="BQ53" s="3">
        <v>6.0000000000000005E-29</v>
      </c>
      <c r="BR53" t="s">
        <v>513</v>
      </c>
      <c r="BS53" t="s">
        <v>477</v>
      </c>
      <c r="BT53" t="s">
        <v>477</v>
      </c>
      <c r="BU53" t="s">
        <v>514</v>
      </c>
      <c r="BV53" s="3">
        <v>6.0000000000000005E-29</v>
      </c>
      <c r="BW53" t="s">
        <v>515</v>
      </c>
      <c r="BX53" t="s">
        <v>373</v>
      </c>
      <c r="BY53"/>
      <c r="BZ53" t="s">
        <v>516</v>
      </c>
      <c r="CA53" s="3">
        <v>6.0000000000000005E-29</v>
      </c>
      <c r="CB53" t="s">
        <v>8</v>
      </c>
      <c r="CC53"/>
      <c r="CD53"/>
      <c r="CE53" t="s">
        <v>8</v>
      </c>
      <c r="CF53"/>
      <c r="CG53"/>
      <c r="CH53" t="s">
        <v>8</v>
      </c>
      <c r="CI53"/>
      <c r="CJ53" t="s">
        <v>8</v>
      </c>
      <c r="CK53"/>
      <c r="CL53" t="s">
        <v>8</v>
      </c>
      <c r="CM53"/>
      <c r="CN53" t="s">
        <v>8</v>
      </c>
      <c r="CO53"/>
      <c r="CP53"/>
      <c r="CQ53"/>
      <c r="CR53"/>
      <c r="CS53"/>
      <c r="CT53"/>
      <c r="CU53"/>
      <c r="CV53"/>
      <c r="CW53"/>
      <c r="CX53"/>
      <c r="CY53"/>
      <c r="CZ53"/>
      <c r="DA53"/>
      <c r="DB53" t="s">
        <v>8</v>
      </c>
      <c r="DC53"/>
      <c r="DD53"/>
      <c r="DE53"/>
      <c r="DF53"/>
      <c r="DG53"/>
      <c r="DH53"/>
      <c r="DI53"/>
      <c r="DJ53"/>
      <c r="DK53"/>
      <c r="DL53"/>
      <c r="DM53"/>
      <c r="DN53"/>
      <c r="DO53"/>
    </row>
    <row r="54" spans="1:119" s="6" customFormat="1">
      <c r="A54" t="str">
        <f>HYPERLINK(".\links\pep\TI-501-pep.txt","TI-501")</f>
        <v>TI-501</v>
      </c>
      <c r="B54">
        <v>501</v>
      </c>
      <c r="C54" t="s">
        <v>10</v>
      </c>
      <c r="D54">
        <v>195</v>
      </c>
      <c r="E54" s="2">
        <v>2.051282</v>
      </c>
      <c r="F54" t="str">
        <f>HYPERLINK(".\links\cds\TI-501-cds.txt","TI-501")</f>
        <v>TI-501</v>
      </c>
      <c r="G54">
        <v>588</v>
      </c>
      <c r="H54"/>
      <c r="I54" t="s">
        <v>8</v>
      </c>
      <c r="J54" t="s">
        <v>6</v>
      </c>
      <c r="K54">
        <v>0</v>
      </c>
      <c r="L54">
        <v>1</v>
      </c>
      <c r="M54">
        <f t="shared" si="0"/>
        <v>1</v>
      </c>
      <c r="N54" t="s">
        <v>1238</v>
      </c>
      <c r="O54" t="s">
        <v>1213</v>
      </c>
      <c r="P54" t="str">
        <f>HYPERLINK(".\links\NR-LIGHT\TI-501-NR-LIGHT.txt","NR-LIGHT")</f>
        <v>NR-LIGHT</v>
      </c>
      <c r="Q54" s="3">
        <v>9.9999999999999996E-83</v>
      </c>
      <c r="R54">
        <v>98.9</v>
      </c>
      <c r="S54" t="str">
        <f>HYPERLINK(".\links\NR-LIGHT\TI-501-NR-LIGHT.txt","putative microsomal signal peptidase 25 kD subunit")</f>
        <v>putative microsomal signal peptidase 25 kD subunit</v>
      </c>
      <c r="T54" t="str">
        <f>HYPERLINK("http://www.ncbi.nlm.nih.gov/sutils/blink.cgi?pid=263173484","1E-082")</f>
        <v>1E-082</v>
      </c>
      <c r="U54" t="str">
        <f>HYPERLINK("http://www.ncbi.nlm.nih.gov/protein/263173484","gi|263173484")</f>
        <v>gi|263173484</v>
      </c>
      <c r="V54">
        <v>307</v>
      </c>
      <c r="W54">
        <v>190</v>
      </c>
      <c r="X54">
        <v>193</v>
      </c>
      <c r="Y54">
        <v>75</v>
      </c>
      <c r="Z54">
        <v>99</v>
      </c>
      <c r="AA54">
        <v>47</v>
      </c>
      <c r="AB54">
        <v>0</v>
      </c>
      <c r="AC54">
        <v>3</v>
      </c>
      <c r="AD54">
        <v>5</v>
      </c>
      <c r="AE54">
        <v>1</v>
      </c>
      <c r="AF54"/>
      <c r="AG54" t="s">
        <v>13</v>
      </c>
      <c r="AH54" t="s">
        <v>51</v>
      </c>
      <c r="AI54" t="s">
        <v>280</v>
      </c>
      <c r="AJ54" t="str">
        <f>HYPERLINK(".\links\SWISSP\TI-501-SWISSP.txt","Probable signal peptidase complex subunit 2 OS=Xenopus tropicalis GN=spcs2 PE=2")</f>
        <v>Probable signal peptidase complex subunit 2 OS=Xenopus tropicalis GN=spcs2 PE=2</v>
      </c>
      <c r="AK54" t="str">
        <f>HYPERLINK("http://www.uniprot.org/uniprot/Q5M8Y1","4E-059")</f>
        <v>4E-059</v>
      </c>
      <c r="AL54" t="s">
        <v>99</v>
      </c>
      <c r="AM54">
        <v>227</v>
      </c>
      <c r="AN54">
        <v>189</v>
      </c>
      <c r="AO54">
        <v>201</v>
      </c>
      <c r="AP54">
        <v>56</v>
      </c>
      <c r="AQ54">
        <v>95</v>
      </c>
      <c r="AR54">
        <v>82</v>
      </c>
      <c r="AS54">
        <v>0</v>
      </c>
      <c r="AT54">
        <v>12</v>
      </c>
      <c r="AU54">
        <v>6</v>
      </c>
      <c r="AV54">
        <v>1</v>
      </c>
      <c r="AW54" t="s">
        <v>100</v>
      </c>
      <c r="AX54" t="str">
        <f>HYPERLINK(".\links\PREV-RHOD-PEP\TI-501-PREV-RHOD-PEP.txt","Contig17852_10")</f>
        <v>Contig17852_10</v>
      </c>
      <c r="AY54" s="3">
        <v>1.0000000000000001E-101</v>
      </c>
      <c r="AZ54" t="s">
        <v>1014</v>
      </c>
      <c r="BA54">
        <v>364</v>
      </c>
      <c r="BB54">
        <v>190</v>
      </c>
      <c r="BC54">
        <v>193</v>
      </c>
      <c r="BD54">
        <v>93</v>
      </c>
      <c r="BE54">
        <v>99</v>
      </c>
      <c r="BF54">
        <v>12</v>
      </c>
      <c r="BG54">
        <v>0</v>
      </c>
      <c r="BH54">
        <v>3</v>
      </c>
      <c r="BI54">
        <v>5</v>
      </c>
      <c r="BJ54">
        <v>1</v>
      </c>
      <c r="BK54" t="s">
        <v>475</v>
      </c>
      <c r="BL54">
        <f>HYPERLINK(".\links\GO\TI-501-GO.txt",5E-42)</f>
        <v>5E-42</v>
      </c>
      <c r="BM54" t="s">
        <v>455</v>
      </c>
      <c r="BN54" t="s">
        <v>345</v>
      </c>
      <c r="BO54" t="s">
        <v>349</v>
      </c>
      <c r="BP54" t="s">
        <v>456</v>
      </c>
      <c r="BQ54" s="3">
        <v>5E-42</v>
      </c>
      <c r="BR54" t="s">
        <v>476</v>
      </c>
      <c r="BS54" t="s">
        <v>477</v>
      </c>
      <c r="BT54" t="s">
        <v>477</v>
      </c>
      <c r="BU54" t="s">
        <v>478</v>
      </c>
      <c r="BV54" s="3">
        <v>5E-42</v>
      </c>
      <c r="BW54" t="s">
        <v>479</v>
      </c>
      <c r="BX54" t="s">
        <v>345</v>
      </c>
      <c r="BY54" t="s">
        <v>349</v>
      </c>
      <c r="BZ54" t="s">
        <v>480</v>
      </c>
      <c r="CA54" s="3">
        <v>5E-42</v>
      </c>
      <c r="CB54" t="s">
        <v>8</v>
      </c>
      <c r="CC54"/>
      <c r="CD54"/>
      <c r="CE54" t="s">
        <v>8</v>
      </c>
      <c r="CF54"/>
      <c r="CG54"/>
      <c r="CH54" t="s">
        <v>8</v>
      </c>
      <c r="CI54"/>
      <c r="CJ54" t="s">
        <v>8</v>
      </c>
      <c r="CK54"/>
      <c r="CL54" t="s">
        <v>8</v>
      </c>
      <c r="CM54"/>
      <c r="CN54" t="s">
        <v>8</v>
      </c>
      <c r="CO54"/>
      <c r="CP54"/>
      <c r="CQ54"/>
      <c r="CR54"/>
      <c r="CS54"/>
      <c r="CT54"/>
      <c r="CU54"/>
      <c r="CV54"/>
      <c r="CW54"/>
      <c r="CX54"/>
      <c r="CY54"/>
      <c r="CZ54"/>
      <c r="DA54"/>
      <c r="DB54" t="s">
        <v>8</v>
      </c>
      <c r="DC54"/>
      <c r="DD54"/>
      <c r="DE54"/>
      <c r="DF54"/>
      <c r="DG54"/>
      <c r="DH54"/>
      <c r="DI54"/>
      <c r="DJ54"/>
      <c r="DK54"/>
      <c r="DL54"/>
      <c r="DM54"/>
      <c r="DN54"/>
      <c r="DO54"/>
    </row>
    <row r="55" spans="1:119" s="6" customFormat="1">
      <c r="A55" t="str">
        <f>HYPERLINK(".\links\pep\TI-497-pep.txt","TI-497")</f>
        <v>TI-497</v>
      </c>
      <c r="B55">
        <v>497</v>
      </c>
      <c r="C55" t="s">
        <v>11</v>
      </c>
      <c r="D55">
        <v>250</v>
      </c>
      <c r="E55" s="2">
        <v>1.2</v>
      </c>
      <c r="F55" t="str">
        <f>HYPERLINK(".\links\cds\TI-497-cds.txt","TI-497")</f>
        <v>TI-497</v>
      </c>
      <c r="G55">
        <v>748</v>
      </c>
      <c r="H55"/>
      <c r="I55" t="s">
        <v>8</v>
      </c>
      <c r="J55" t="s">
        <v>8</v>
      </c>
      <c r="K55">
        <v>0</v>
      </c>
      <c r="L55">
        <v>1</v>
      </c>
      <c r="M55">
        <f t="shared" ref="M55:M101" si="1">ABS(K55-L55)</f>
        <v>1</v>
      </c>
      <c r="N55" t="s">
        <v>1343</v>
      </c>
      <c r="O55" t="s">
        <v>1178</v>
      </c>
      <c r="P55" t="str">
        <f>HYPERLINK(".\links\NR-LIGHT\TI-497-NR-LIGHT.txt","NR-LIGHT")</f>
        <v>NR-LIGHT</v>
      </c>
      <c r="Q55" s="3">
        <v>4.9999999999999999E-49</v>
      </c>
      <c r="R55">
        <v>42</v>
      </c>
      <c r="S55" t="str">
        <f>HYPERLINK(".\links\NR-LIGHT\TI-497-NR-LIGHT.txt","similar to FL(2)D protein, putative")</f>
        <v>similar to FL(2)D protein, putative</v>
      </c>
      <c r="T55" t="str">
        <f>HYPERLINK("http://www.ncbi.nlm.nih.gov/sutils/blink.cgi?pid=156545287","5E-049")</f>
        <v>5E-049</v>
      </c>
      <c r="U55" t="str">
        <f>HYPERLINK("http://www.ncbi.nlm.nih.gov/protein/156545287","gi|156545287")</f>
        <v>gi|156545287</v>
      </c>
      <c r="V55">
        <v>196</v>
      </c>
      <c r="W55">
        <v>204</v>
      </c>
      <c r="X55">
        <v>488</v>
      </c>
      <c r="Y55">
        <v>51</v>
      </c>
      <c r="Z55">
        <v>42</v>
      </c>
      <c r="AA55">
        <v>99</v>
      </c>
      <c r="AB55">
        <v>22</v>
      </c>
      <c r="AC55">
        <v>92</v>
      </c>
      <c r="AD55">
        <v>5</v>
      </c>
      <c r="AE55">
        <v>1</v>
      </c>
      <c r="AF55"/>
      <c r="AG55" t="s">
        <v>13</v>
      </c>
      <c r="AH55" t="s">
        <v>51</v>
      </c>
      <c r="AI55" t="s">
        <v>274</v>
      </c>
      <c r="AJ55" t="str">
        <f>HYPERLINK(".\links\SWISSP\TI-497-SWISSP.txt","Pre-mRNA-splicing regulator female-lethal(2)D OS=Drosophila pseudoobscura")</f>
        <v>Pre-mRNA-splicing regulator female-lethal(2)D OS=Drosophila pseudoobscura</v>
      </c>
      <c r="AK55" t="str">
        <f>HYPERLINK("http://www.uniprot.org/uniprot/Q28XY0","1E-043")</f>
        <v>1E-043</v>
      </c>
      <c r="AL55" t="s">
        <v>106</v>
      </c>
      <c r="AM55">
        <v>176</v>
      </c>
      <c r="AN55">
        <v>175</v>
      </c>
      <c r="AO55">
        <v>560</v>
      </c>
      <c r="AP55">
        <v>55</v>
      </c>
      <c r="AQ55">
        <v>31</v>
      </c>
      <c r="AR55">
        <v>79</v>
      </c>
      <c r="AS55">
        <v>22</v>
      </c>
      <c r="AT55">
        <v>142</v>
      </c>
      <c r="AU55">
        <v>34</v>
      </c>
      <c r="AV55">
        <v>1</v>
      </c>
      <c r="AW55" t="s">
        <v>107</v>
      </c>
      <c r="AX55" t="str">
        <f>HYPERLINK(".\links\PREV-RHOD-PEP\TI-497-PREV-RHOD-PEP.txt","Contig5571_22")</f>
        <v>Contig5571_22</v>
      </c>
      <c r="AY55" s="3">
        <v>2E-91</v>
      </c>
      <c r="AZ55" t="s">
        <v>1022</v>
      </c>
      <c r="BA55">
        <v>331</v>
      </c>
      <c r="BB55">
        <v>267</v>
      </c>
      <c r="BC55">
        <v>408</v>
      </c>
      <c r="BD55">
        <v>68</v>
      </c>
      <c r="BE55">
        <v>66</v>
      </c>
      <c r="BF55">
        <v>86</v>
      </c>
      <c r="BG55">
        <v>24</v>
      </c>
      <c r="BH55">
        <v>70</v>
      </c>
      <c r="BI55">
        <v>5</v>
      </c>
      <c r="BJ55">
        <v>1</v>
      </c>
      <c r="BK55" t="s">
        <v>506</v>
      </c>
      <c r="BL55">
        <f>HYPERLINK(".\links\GO\TI-497-GO.txt",9E-43)</f>
        <v>9.0000000000000005E-43</v>
      </c>
      <c r="BM55" t="s">
        <v>507</v>
      </c>
      <c r="BN55" t="s">
        <v>345</v>
      </c>
      <c r="BO55" t="s">
        <v>508</v>
      </c>
      <c r="BP55" t="s">
        <v>509</v>
      </c>
      <c r="BQ55" s="3">
        <v>9.0000000000000005E-43</v>
      </c>
      <c r="BR55" t="s">
        <v>447</v>
      </c>
      <c r="BS55" t="s">
        <v>323</v>
      </c>
      <c r="BT55" t="s">
        <v>334</v>
      </c>
      <c r="BU55" t="s">
        <v>448</v>
      </c>
      <c r="BV55" s="3">
        <v>9.0000000000000005E-43</v>
      </c>
      <c r="BW55" t="s">
        <v>510</v>
      </c>
      <c r="BX55" t="s">
        <v>345</v>
      </c>
      <c r="BY55" t="s">
        <v>508</v>
      </c>
      <c r="BZ55" t="s">
        <v>511</v>
      </c>
      <c r="CA55" s="3">
        <v>9.0000000000000005E-43</v>
      </c>
      <c r="CB55" t="s">
        <v>8</v>
      </c>
      <c r="CC55"/>
      <c r="CD55"/>
      <c r="CE55" t="s">
        <v>8</v>
      </c>
      <c r="CF55"/>
      <c r="CG55"/>
      <c r="CH55" t="s">
        <v>8</v>
      </c>
      <c r="CI55"/>
      <c r="CJ55" t="s">
        <v>8</v>
      </c>
      <c r="CK55"/>
      <c r="CL55" t="s">
        <v>8</v>
      </c>
      <c r="CM55"/>
      <c r="CN55" t="s">
        <v>8</v>
      </c>
      <c r="CO55"/>
      <c r="CP55"/>
      <c r="CQ55"/>
      <c r="CR55"/>
      <c r="CS55"/>
      <c r="CT55"/>
      <c r="CU55"/>
      <c r="CV55"/>
      <c r="CW55"/>
      <c r="CX55"/>
      <c r="CY55"/>
      <c r="CZ55"/>
      <c r="DA55"/>
      <c r="DB55" t="s">
        <v>8</v>
      </c>
      <c r="DC55"/>
      <c r="DD55"/>
      <c r="DE55"/>
      <c r="DF55"/>
      <c r="DG55"/>
      <c r="DH55"/>
      <c r="DI55"/>
      <c r="DJ55"/>
      <c r="DK55"/>
      <c r="DL55"/>
      <c r="DM55"/>
      <c r="DN55"/>
      <c r="DO55"/>
    </row>
    <row r="56" spans="1:119" s="6" customFormat="1">
      <c r="A56" t="str">
        <f>HYPERLINK(".\links\pep\TI-495-pep.txt","TI-495")</f>
        <v>TI-495</v>
      </c>
      <c r="B56">
        <v>495</v>
      </c>
      <c r="C56" t="s">
        <v>7</v>
      </c>
      <c r="D56">
        <v>208</v>
      </c>
      <c r="E56">
        <v>0</v>
      </c>
      <c r="F56" t="str">
        <f>HYPERLINK(".\links\cds\TI-495-cds.txt","TI-495")</f>
        <v>TI-495</v>
      </c>
      <c r="G56">
        <v>627</v>
      </c>
      <c r="H56"/>
      <c r="I56" t="s">
        <v>29</v>
      </c>
      <c r="J56" t="s">
        <v>6</v>
      </c>
      <c r="K56">
        <v>1</v>
      </c>
      <c r="L56">
        <v>4</v>
      </c>
      <c r="M56">
        <f t="shared" si="1"/>
        <v>3</v>
      </c>
      <c r="N56" t="s">
        <v>1237</v>
      </c>
      <c r="O56" t="s">
        <v>1169</v>
      </c>
      <c r="P56" t="str">
        <f>HYPERLINK(".\links\NR-LIGHT\TI-495-NR-LIGHT.txt","NR-LIGHT")</f>
        <v>NR-LIGHT</v>
      </c>
      <c r="Q56">
        <v>0</v>
      </c>
      <c r="R56">
        <v>100</v>
      </c>
      <c r="S56" t="str">
        <f>HYPERLINK(".\links\NR-LIGHT\TI-495-NR-LIGHT.txt","40S ribosomal protein S8")</f>
        <v>40S ribosomal protein S8</v>
      </c>
      <c r="T56" t="str">
        <f>HYPERLINK("http://www.ncbi.nlm.nih.gov/sutils/blink.cgi?pid=149689088","1E-106")</f>
        <v>1E-106</v>
      </c>
      <c r="U56" t="str">
        <f>HYPERLINK("http://www.ncbi.nlm.nih.gov/protein/149689088","gi|149689088")</f>
        <v>gi|149689088</v>
      </c>
      <c r="V56">
        <v>387</v>
      </c>
      <c r="W56">
        <v>207</v>
      </c>
      <c r="X56">
        <v>208</v>
      </c>
      <c r="Y56">
        <v>91</v>
      </c>
      <c r="Z56">
        <v>100</v>
      </c>
      <c r="AA56">
        <v>17</v>
      </c>
      <c r="AB56">
        <v>0</v>
      </c>
      <c r="AC56">
        <v>1</v>
      </c>
      <c r="AD56">
        <v>1</v>
      </c>
      <c r="AE56">
        <v>1</v>
      </c>
      <c r="AF56"/>
      <c r="AG56" t="s">
        <v>13</v>
      </c>
      <c r="AH56" t="s">
        <v>51</v>
      </c>
      <c r="AI56" t="s">
        <v>273</v>
      </c>
      <c r="AJ56" t="str">
        <f>HYPERLINK(".\links\SWISSP\TI-495-SWISSP.txt","40S ribosomal protein S8 OS=Apis mellifera GN=RpS8 PE=2 SV=2")</f>
        <v>40S ribosomal protein S8 OS=Apis mellifera GN=RpS8 PE=2 SV=2</v>
      </c>
      <c r="AK56" t="str">
        <f>HYPERLINK("http://www.uniprot.org/uniprot/O76756","1E-090")</f>
        <v>1E-090</v>
      </c>
      <c r="AL56" t="s">
        <v>244</v>
      </c>
      <c r="AM56">
        <v>332</v>
      </c>
      <c r="AN56">
        <v>207</v>
      </c>
      <c r="AO56">
        <v>208</v>
      </c>
      <c r="AP56">
        <v>76</v>
      </c>
      <c r="AQ56">
        <v>100</v>
      </c>
      <c r="AR56">
        <v>48</v>
      </c>
      <c r="AS56">
        <v>0</v>
      </c>
      <c r="AT56">
        <v>1</v>
      </c>
      <c r="AU56">
        <v>1</v>
      </c>
      <c r="AV56">
        <v>1</v>
      </c>
      <c r="AW56" t="s">
        <v>83</v>
      </c>
      <c r="AX56" t="str">
        <f>HYPERLINK(".\links\PREV-RHOD-PEP\TI-495-PREV-RHOD-PEP.txt","Contig17558_45")</f>
        <v>Contig17558_45</v>
      </c>
      <c r="AY56" s="3">
        <v>9.9999999999999997E-106</v>
      </c>
      <c r="AZ56" t="s">
        <v>1152</v>
      </c>
      <c r="BA56">
        <v>376</v>
      </c>
      <c r="BB56">
        <v>206</v>
      </c>
      <c r="BC56">
        <v>212</v>
      </c>
      <c r="BD56">
        <v>88</v>
      </c>
      <c r="BE56">
        <v>98</v>
      </c>
      <c r="BF56">
        <v>23</v>
      </c>
      <c r="BG56">
        <v>0</v>
      </c>
      <c r="BH56">
        <v>6</v>
      </c>
      <c r="BI56">
        <v>2</v>
      </c>
      <c r="BJ56">
        <v>1</v>
      </c>
      <c r="BK56" t="s">
        <v>948</v>
      </c>
      <c r="BL56">
        <f>HYPERLINK(".\links\GO\TI-495-GO.txt",2E-83)</f>
        <v>2.0000000000000001E-83</v>
      </c>
      <c r="BM56" t="s">
        <v>373</v>
      </c>
      <c r="BN56" t="s">
        <v>373</v>
      </c>
      <c r="BO56"/>
      <c r="BP56" t="s">
        <v>374</v>
      </c>
      <c r="BQ56" s="3">
        <v>2.0000000000000001E-83</v>
      </c>
      <c r="BR56" t="s">
        <v>431</v>
      </c>
      <c r="BS56" t="s">
        <v>323</v>
      </c>
      <c r="BT56" t="s">
        <v>334</v>
      </c>
      <c r="BU56" t="s">
        <v>432</v>
      </c>
      <c r="BV56" s="3">
        <v>2.0000000000000001E-83</v>
      </c>
      <c r="BW56" t="s">
        <v>814</v>
      </c>
      <c r="BX56" t="s">
        <v>373</v>
      </c>
      <c r="BY56"/>
      <c r="BZ56" t="s">
        <v>815</v>
      </c>
      <c r="CA56" s="3">
        <v>2.0000000000000001E-83</v>
      </c>
      <c r="CB56" t="s">
        <v>8</v>
      </c>
      <c r="CC56"/>
      <c r="CD56"/>
      <c r="CE56" t="s">
        <v>8</v>
      </c>
      <c r="CF56"/>
      <c r="CG56"/>
      <c r="CH56" t="s">
        <v>8</v>
      </c>
      <c r="CI56"/>
      <c r="CJ56" t="s">
        <v>8</v>
      </c>
      <c r="CK56"/>
      <c r="CL56" t="s">
        <v>8</v>
      </c>
      <c r="CM56"/>
      <c r="CN56" t="s">
        <v>8</v>
      </c>
      <c r="CO56"/>
      <c r="CP56"/>
      <c r="CQ56"/>
      <c r="CR56"/>
      <c r="CS56"/>
      <c r="CT56"/>
      <c r="CU56"/>
      <c r="CV56"/>
      <c r="CW56"/>
      <c r="CX56"/>
      <c r="CY56"/>
      <c r="CZ56"/>
      <c r="DA56"/>
      <c r="DB56" t="s">
        <v>8</v>
      </c>
      <c r="DC56"/>
      <c r="DD56"/>
      <c r="DE56"/>
      <c r="DF56"/>
      <c r="DG56"/>
      <c r="DH56"/>
      <c r="DI56"/>
      <c r="DJ56"/>
      <c r="DK56"/>
      <c r="DL56"/>
      <c r="DM56"/>
      <c r="DN56"/>
      <c r="DO56"/>
    </row>
    <row r="57" spans="1:119" s="6" customFormat="1">
      <c r="A57" t="str">
        <f>HYPERLINK(".\links\pep\TI-493-pep.txt","TI-493")</f>
        <v>TI-493</v>
      </c>
      <c r="B57">
        <v>493</v>
      </c>
      <c r="C57" t="s">
        <v>16</v>
      </c>
      <c r="D57">
        <v>225</v>
      </c>
      <c r="E57" s="2">
        <v>1.7777780000000001</v>
      </c>
      <c r="F57" t="str">
        <f>HYPERLINK(".\links\cds\TI-493-cds.txt","TI-493")</f>
        <v>TI-493</v>
      </c>
      <c r="G57">
        <v>678</v>
      </c>
      <c r="H57"/>
      <c r="I57" t="s">
        <v>8</v>
      </c>
      <c r="J57" t="s">
        <v>6</v>
      </c>
      <c r="K57">
        <v>0</v>
      </c>
      <c r="L57">
        <v>1</v>
      </c>
      <c r="M57">
        <f t="shared" si="1"/>
        <v>1</v>
      </c>
      <c r="N57" t="s">
        <v>1342</v>
      </c>
      <c r="O57" t="s">
        <v>1178</v>
      </c>
      <c r="P57" t="str">
        <f>HYPERLINK(".\links\NR-LIGHT\TI-493-NR-LIGHT.txt","NR-LIGHT")</f>
        <v>NR-LIGHT</v>
      </c>
      <c r="Q57" s="3">
        <v>4.0000000000000003E-68</v>
      </c>
      <c r="R57">
        <v>51</v>
      </c>
      <c r="S57" t="str">
        <f>HYPERLINK(".\links\NR-LIGHT\TI-493-NR-LIGHT.txt","hypothetical protein AaeL_AAEL007562")</f>
        <v>hypothetical protein AaeL_AAEL007562</v>
      </c>
      <c r="T57" t="str">
        <f>HYPERLINK("http://www.ncbi.nlm.nih.gov/sutils/blink.cgi?pid=157116383","4E-068")</f>
        <v>4E-068</v>
      </c>
      <c r="U57" t="str">
        <f>HYPERLINK("http://www.ncbi.nlm.nih.gov/protein/157116383","gi|157116383")</f>
        <v>gi|157116383</v>
      </c>
      <c r="V57">
        <v>259</v>
      </c>
      <c r="W57">
        <v>214</v>
      </c>
      <c r="X57">
        <v>421</v>
      </c>
      <c r="Y57">
        <v>57</v>
      </c>
      <c r="Z57">
        <v>51</v>
      </c>
      <c r="AA57">
        <v>91</v>
      </c>
      <c r="AB57">
        <v>5</v>
      </c>
      <c r="AC57">
        <v>77</v>
      </c>
      <c r="AD57">
        <v>14</v>
      </c>
      <c r="AE57">
        <v>1</v>
      </c>
      <c r="AF57"/>
      <c r="AG57" t="s">
        <v>13</v>
      </c>
      <c r="AH57" t="s">
        <v>51</v>
      </c>
      <c r="AI57" t="s">
        <v>76</v>
      </c>
      <c r="AJ57" t="str">
        <f>HYPERLINK(".\links\SWISSP\TI-493-SWISSP.txt","Dual oxidase maturation factor 1 OS=Xenopus tropicalis GN=duoxa1 PE=2 SV=1")</f>
        <v>Dual oxidase maturation factor 1 OS=Xenopus tropicalis GN=duoxa1 PE=2 SV=1</v>
      </c>
      <c r="AK57" t="str">
        <f>HYPERLINK("http://www.uniprot.org/uniprot/Q0P4G7","3E-027")</f>
        <v>3E-027</v>
      </c>
      <c r="AL57" t="s">
        <v>102</v>
      </c>
      <c r="AM57">
        <v>121</v>
      </c>
      <c r="AN57">
        <v>178</v>
      </c>
      <c r="AO57">
        <v>308</v>
      </c>
      <c r="AP57">
        <v>37</v>
      </c>
      <c r="AQ57">
        <v>58</v>
      </c>
      <c r="AR57">
        <v>113</v>
      </c>
      <c r="AS57">
        <v>6</v>
      </c>
      <c r="AT57">
        <v>85</v>
      </c>
      <c r="AU57">
        <v>30</v>
      </c>
      <c r="AV57">
        <v>1</v>
      </c>
      <c r="AW57" t="s">
        <v>100</v>
      </c>
      <c r="AX57" t="str">
        <f>HYPERLINK(".\links\PREV-RHOD-PEP\TI-493-PREV-RHOD-PEP.txt","Contig17144_5")</f>
        <v>Contig17144_5</v>
      </c>
      <c r="AY57" s="3">
        <v>9.9999999999999999E-96</v>
      </c>
      <c r="AZ57" t="s">
        <v>1017</v>
      </c>
      <c r="BA57">
        <v>344</v>
      </c>
      <c r="BB57">
        <v>226</v>
      </c>
      <c r="BC57">
        <v>340</v>
      </c>
      <c r="BD57">
        <v>80</v>
      </c>
      <c r="BE57">
        <v>67</v>
      </c>
      <c r="BF57">
        <v>44</v>
      </c>
      <c r="BG57">
        <v>18</v>
      </c>
      <c r="BH57">
        <v>2</v>
      </c>
      <c r="BI57">
        <v>16</v>
      </c>
      <c r="BJ57">
        <v>1</v>
      </c>
      <c r="BK57" t="s">
        <v>486</v>
      </c>
      <c r="BL57">
        <f>HYPERLINK(".\links\GO\TI-493-GO.txt",1E-67)</f>
        <v>9.9999999999999994E-68</v>
      </c>
      <c r="BM57" t="s">
        <v>339</v>
      </c>
      <c r="BN57" t="s">
        <v>340</v>
      </c>
      <c r="BO57" t="s">
        <v>341</v>
      </c>
      <c r="BP57" t="s">
        <v>342</v>
      </c>
      <c r="BQ57" s="3">
        <v>9.9999999999999994E-68</v>
      </c>
      <c r="BR57" t="s">
        <v>487</v>
      </c>
      <c r="BS57" t="s">
        <v>323</v>
      </c>
      <c r="BT57" t="s">
        <v>488</v>
      </c>
      <c r="BU57" t="s">
        <v>489</v>
      </c>
      <c r="BV57" s="3">
        <v>9.9999999999999994E-68</v>
      </c>
      <c r="BW57" t="s">
        <v>490</v>
      </c>
      <c r="BX57" t="s">
        <v>340</v>
      </c>
      <c r="BY57" t="s">
        <v>341</v>
      </c>
      <c r="BZ57" t="s">
        <v>491</v>
      </c>
      <c r="CA57" s="3">
        <v>9.9999999999999994E-68</v>
      </c>
      <c r="CB57" t="s">
        <v>8</v>
      </c>
      <c r="CC57"/>
      <c r="CD57"/>
      <c r="CE57" t="s">
        <v>8</v>
      </c>
      <c r="CF57"/>
      <c r="CG57"/>
      <c r="CH57" t="s">
        <v>8</v>
      </c>
      <c r="CI57"/>
      <c r="CJ57" t="s">
        <v>8</v>
      </c>
      <c r="CK57"/>
      <c r="CL57" t="s">
        <v>8</v>
      </c>
      <c r="CM57"/>
      <c r="CN57" t="s">
        <v>8</v>
      </c>
      <c r="CO57"/>
      <c r="CP57"/>
      <c r="CQ57"/>
      <c r="CR57"/>
      <c r="CS57"/>
      <c r="CT57"/>
      <c r="CU57"/>
      <c r="CV57"/>
      <c r="CW57"/>
      <c r="CX57"/>
      <c r="CY57"/>
      <c r="CZ57"/>
      <c r="DA57"/>
      <c r="DB57" t="s">
        <v>8</v>
      </c>
      <c r="DC57"/>
      <c r="DD57"/>
      <c r="DE57"/>
      <c r="DF57"/>
      <c r="DG57"/>
      <c r="DH57"/>
      <c r="DI57"/>
      <c r="DJ57"/>
      <c r="DK57"/>
      <c r="DL57"/>
      <c r="DM57"/>
      <c r="DN57"/>
      <c r="DO57"/>
    </row>
    <row r="58" spans="1:119" s="6" customFormat="1">
      <c r="A58" t="str">
        <f>HYPERLINK(".\links\pep\TI-490-pep.txt","TI-490")</f>
        <v>TI-490</v>
      </c>
      <c r="B58">
        <v>490</v>
      </c>
      <c r="C58" t="s">
        <v>7</v>
      </c>
      <c r="D58">
        <v>94</v>
      </c>
      <c r="E58">
        <v>0</v>
      </c>
      <c r="F58" t="str">
        <f>HYPERLINK(".\links\cds\TI-490-cds.txt","TI-490")</f>
        <v>TI-490</v>
      </c>
      <c r="G58">
        <v>285</v>
      </c>
      <c r="H58"/>
      <c r="I58" t="s">
        <v>29</v>
      </c>
      <c r="J58" t="s">
        <v>6</v>
      </c>
      <c r="K58">
        <v>0</v>
      </c>
      <c r="L58">
        <v>2</v>
      </c>
      <c r="M58">
        <f t="shared" si="1"/>
        <v>2</v>
      </c>
      <c r="N58" t="s">
        <v>1334</v>
      </c>
      <c r="O58" t="s">
        <v>1208</v>
      </c>
      <c r="P58" t="str">
        <f>HYPERLINK(".\links\GO\TI-490-GO.txt","GO")</f>
        <v>GO</v>
      </c>
      <c r="Q58">
        <v>5.9999999999999997E-7</v>
      </c>
      <c r="R58">
        <v>100</v>
      </c>
      <c r="S58" t="str">
        <f>HYPERLINK(".\links\NR-LIGHT\TI-490-NR-LIGHT.txt","defensin")</f>
        <v>defensin</v>
      </c>
      <c r="T58" t="str">
        <f>HYPERLINK("http://www.ncbi.nlm.nih.gov/sutils/blink.cgi?pid=89112752","6E-049")</f>
        <v>6E-049</v>
      </c>
      <c r="U58" t="str">
        <f>HYPERLINK("http://www.ncbi.nlm.nih.gov/protein/89112752","gi|89112752")</f>
        <v>gi|89112752</v>
      </c>
      <c r="V58">
        <v>194</v>
      </c>
      <c r="W58">
        <v>93</v>
      </c>
      <c r="X58">
        <v>94</v>
      </c>
      <c r="Y58">
        <v>98</v>
      </c>
      <c r="Z58">
        <v>100</v>
      </c>
      <c r="AA58">
        <v>1</v>
      </c>
      <c r="AB58">
        <v>0</v>
      </c>
      <c r="AC58">
        <v>1</v>
      </c>
      <c r="AD58">
        <v>1</v>
      </c>
      <c r="AE58">
        <v>1</v>
      </c>
      <c r="AF58"/>
      <c r="AG58" t="s">
        <v>13</v>
      </c>
      <c r="AH58" t="s">
        <v>51</v>
      </c>
      <c r="AI58" t="s">
        <v>273</v>
      </c>
      <c r="AJ58" t="str">
        <f>HYPERLINK(".\links\SWISSP\TI-490-SWISSP.txt","Defensin OS=Pyrrhocoris apterus PE=1 SV=1")</f>
        <v>Defensin OS=Pyrrhocoris apterus PE=1 SV=1</v>
      </c>
      <c r="AK58" t="str">
        <f>HYPERLINK("http://www.uniprot.org/uniprot/P37364","6E-011")</f>
        <v>6E-011</v>
      </c>
      <c r="AL58" t="s">
        <v>226</v>
      </c>
      <c r="AM58">
        <v>66.2</v>
      </c>
      <c r="AN58">
        <v>42</v>
      </c>
      <c r="AO58">
        <v>43</v>
      </c>
      <c r="AP58">
        <v>62</v>
      </c>
      <c r="AQ58">
        <v>100</v>
      </c>
      <c r="AR58">
        <v>16</v>
      </c>
      <c r="AS58">
        <v>0</v>
      </c>
      <c r="AT58">
        <v>1</v>
      </c>
      <c r="AU58">
        <v>52</v>
      </c>
      <c r="AV58">
        <v>1</v>
      </c>
      <c r="AW58" t="s">
        <v>227</v>
      </c>
      <c r="AX58" t="str">
        <f>HYPERLINK(".\links\PREV-RHOD-PEP\TI-490-PREV-RHOD-PEP.txt","Contig17966_73")</f>
        <v>Contig17966_73</v>
      </c>
      <c r="AY58" s="3">
        <v>3.0000000000000002E-40</v>
      </c>
      <c r="AZ58" t="s">
        <v>1138</v>
      </c>
      <c r="BA58">
        <v>159</v>
      </c>
      <c r="BB58">
        <v>93</v>
      </c>
      <c r="BC58">
        <v>415</v>
      </c>
      <c r="BD58">
        <v>76</v>
      </c>
      <c r="BE58">
        <v>23</v>
      </c>
      <c r="BF58">
        <v>22</v>
      </c>
      <c r="BG58">
        <v>2</v>
      </c>
      <c r="BH58">
        <v>322</v>
      </c>
      <c r="BI58">
        <v>1</v>
      </c>
      <c r="BJ58">
        <v>1</v>
      </c>
      <c r="BK58" t="s">
        <v>890</v>
      </c>
      <c r="BL58">
        <f>HYPERLINK(".\links\GO\TI-490-GO.txt",0.0000006)</f>
        <v>5.9999999999999997E-7</v>
      </c>
      <c r="BM58" t="s">
        <v>8</v>
      </c>
      <c r="BN58" t="s">
        <v>8</v>
      </c>
      <c r="BO58" t="s">
        <v>8</v>
      </c>
      <c r="BP58" t="s">
        <v>8</v>
      </c>
      <c r="BQ58" t="s">
        <v>8</v>
      </c>
      <c r="BR58" t="s">
        <v>861</v>
      </c>
      <c r="BS58" t="s">
        <v>501</v>
      </c>
      <c r="BT58" t="s">
        <v>752</v>
      </c>
      <c r="BU58" t="s">
        <v>862</v>
      </c>
      <c r="BV58">
        <v>5.9999999999999997E-7</v>
      </c>
      <c r="BW58" t="s">
        <v>891</v>
      </c>
      <c r="BX58" t="s">
        <v>345</v>
      </c>
      <c r="BY58" t="s">
        <v>349</v>
      </c>
      <c r="BZ58" t="s">
        <v>892</v>
      </c>
      <c r="CA58">
        <v>5.9999999999999997E-7</v>
      </c>
      <c r="CB58" t="s">
        <v>8</v>
      </c>
      <c r="CC58"/>
      <c r="CD58"/>
      <c r="CE58" t="s">
        <v>8</v>
      </c>
      <c r="CF58"/>
      <c r="CG58"/>
      <c r="CH58" t="s">
        <v>8</v>
      </c>
      <c r="CI58"/>
      <c r="CJ58" t="s">
        <v>8</v>
      </c>
      <c r="CK58"/>
      <c r="CL58" t="s">
        <v>8</v>
      </c>
      <c r="CM58"/>
      <c r="CN58" t="s">
        <v>8</v>
      </c>
      <c r="CO58"/>
      <c r="CP58"/>
      <c r="CQ58"/>
      <c r="CR58"/>
      <c r="CS58"/>
      <c r="CT58"/>
      <c r="CU58"/>
      <c r="CV58"/>
      <c r="CW58"/>
      <c r="CX58"/>
      <c r="CY58"/>
      <c r="CZ58"/>
      <c r="DA58"/>
      <c r="DB58" t="s">
        <v>8</v>
      </c>
      <c r="DC58"/>
      <c r="DD58"/>
      <c r="DE58"/>
      <c r="DF58"/>
      <c r="DG58"/>
      <c r="DH58"/>
      <c r="DI58"/>
      <c r="DJ58"/>
      <c r="DK58"/>
      <c r="DL58"/>
      <c r="DM58"/>
      <c r="DN58"/>
      <c r="DO58"/>
    </row>
    <row r="59" spans="1:119" s="6" customFormat="1">
      <c r="A59" s="6" t="str">
        <f>HYPERLINK(".\links\pep\TI-488-pep.txt","TI-488")</f>
        <v>TI-488</v>
      </c>
      <c r="B59" s="6">
        <v>488</v>
      </c>
      <c r="C59" s="6" t="s">
        <v>18</v>
      </c>
      <c r="D59" s="6">
        <v>29</v>
      </c>
      <c r="E59" s="6">
        <v>0</v>
      </c>
      <c r="F59" s="6" t="str">
        <f>HYPERLINK(".\links\cds\TI-488-cds.txt","TI-488")</f>
        <v>TI-488</v>
      </c>
      <c r="G59" s="6">
        <v>84</v>
      </c>
      <c r="I59" s="6" t="s">
        <v>8</v>
      </c>
      <c r="J59" s="6" t="s">
        <v>8</v>
      </c>
      <c r="K59" s="6">
        <v>1</v>
      </c>
      <c r="L59" s="6">
        <v>1</v>
      </c>
      <c r="M59" s="6">
        <f t="shared" si="1"/>
        <v>0</v>
      </c>
      <c r="N59" s="6" t="s">
        <v>1170</v>
      </c>
      <c r="O59" s="6" t="s">
        <v>1171</v>
      </c>
      <c r="S59" s="6" t="s">
        <v>8</v>
      </c>
      <c r="AJ59" s="6" t="s">
        <v>8</v>
      </c>
      <c r="AX59" s="6" t="s">
        <v>8</v>
      </c>
      <c r="BK59" s="6" t="s">
        <v>8</v>
      </c>
      <c r="CB59" s="6" t="s">
        <v>8</v>
      </c>
      <c r="CE59" s="6" t="s">
        <v>8</v>
      </c>
      <c r="CH59" s="6" t="s">
        <v>8</v>
      </c>
      <c r="CJ59" s="6" t="s">
        <v>8</v>
      </c>
      <c r="CL59" s="6" t="s">
        <v>8</v>
      </c>
      <c r="CN59" s="6" t="s">
        <v>8</v>
      </c>
      <c r="DB59" s="6" t="s">
        <v>8</v>
      </c>
    </row>
    <row r="60" spans="1:119" s="6" customFormat="1">
      <c r="A60" s="6" t="str">
        <f>HYPERLINK(".\links\pep\TI-486-pep.txt","TI-486")</f>
        <v>TI-486</v>
      </c>
      <c r="B60" s="6">
        <v>486</v>
      </c>
      <c r="C60" s="6" t="s">
        <v>12</v>
      </c>
      <c r="D60" s="6">
        <v>16</v>
      </c>
      <c r="E60" s="6">
        <v>0</v>
      </c>
      <c r="F60" s="6" t="str">
        <f>HYPERLINK(".\links\cds\TI-486-cds.txt","TI-486")</f>
        <v>TI-486</v>
      </c>
      <c r="G60" s="6">
        <v>51</v>
      </c>
      <c r="I60" s="6" t="s">
        <v>8</v>
      </c>
      <c r="J60" s="6" t="s">
        <v>6</v>
      </c>
      <c r="K60" s="6">
        <v>0</v>
      </c>
      <c r="L60" s="6">
        <v>1</v>
      </c>
      <c r="M60" s="6">
        <f t="shared" si="1"/>
        <v>1</v>
      </c>
      <c r="N60" s="6" t="s">
        <v>1170</v>
      </c>
      <c r="O60" s="6" t="s">
        <v>1171</v>
      </c>
      <c r="S60" s="6" t="s">
        <v>8</v>
      </c>
      <c r="AJ60" s="6" t="s">
        <v>8</v>
      </c>
      <c r="AX60" s="6" t="s">
        <v>8</v>
      </c>
      <c r="BK60" s="6" t="s">
        <v>8</v>
      </c>
      <c r="CB60" s="6" t="s">
        <v>8</v>
      </c>
      <c r="CE60" s="6" t="s">
        <v>8</v>
      </c>
      <c r="CH60" s="6" t="s">
        <v>8</v>
      </c>
      <c r="CJ60" s="6" t="s">
        <v>8</v>
      </c>
      <c r="CL60" s="6" t="s">
        <v>8</v>
      </c>
      <c r="CN60" s="6" t="s">
        <v>8</v>
      </c>
      <c r="DB60" s="6" t="s">
        <v>8</v>
      </c>
    </row>
    <row r="61" spans="1:119" s="6" customFormat="1">
      <c r="A61" s="6" t="str">
        <f>HYPERLINK(".\links\pep\TI-485-pep.txt","TI-485")</f>
        <v>TI-485</v>
      </c>
      <c r="B61" s="6">
        <v>485</v>
      </c>
      <c r="C61" s="6" t="s">
        <v>10</v>
      </c>
      <c r="D61" s="6">
        <v>30</v>
      </c>
      <c r="E61" s="6">
        <v>0</v>
      </c>
      <c r="F61" s="6" t="str">
        <f>HYPERLINK(".\links\cds\TI-485-cds.txt","TI-485")</f>
        <v>TI-485</v>
      </c>
      <c r="G61" s="6">
        <v>90</v>
      </c>
      <c r="I61" s="6" t="s">
        <v>8</v>
      </c>
      <c r="J61" s="6" t="s">
        <v>8</v>
      </c>
      <c r="K61" s="6">
        <v>0</v>
      </c>
      <c r="L61" s="6">
        <v>1</v>
      </c>
      <c r="M61" s="6">
        <f t="shared" si="1"/>
        <v>1</v>
      </c>
      <c r="N61" s="6" t="s">
        <v>1170</v>
      </c>
      <c r="O61" s="6" t="s">
        <v>1171</v>
      </c>
      <c r="S61" s="6" t="s">
        <v>8</v>
      </c>
      <c r="AJ61" s="6" t="s">
        <v>8</v>
      </c>
      <c r="AX61" s="6" t="s">
        <v>8</v>
      </c>
      <c r="BK61" s="6" t="s">
        <v>8</v>
      </c>
      <c r="CB61" s="6" t="s">
        <v>8</v>
      </c>
      <c r="CE61" s="6" t="s">
        <v>8</v>
      </c>
      <c r="CH61" s="6" t="s">
        <v>8</v>
      </c>
      <c r="CJ61" s="6" t="s">
        <v>8</v>
      </c>
      <c r="CL61" s="6" t="s">
        <v>8</v>
      </c>
      <c r="CN61" s="6" t="s">
        <v>8</v>
      </c>
      <c r="DB61" s="6" t="s">
        <v>8</v>
      </c>
    </row>
    <row r="62" spans="1:119" s="6" customFormat="1">
      <c r="A62" s="6" t="str">
        <f>HYPERLINK(".\links\pep\TI-478-pep.txt","TI-478")</f>
        <v>TI-478</v>
      </c>
      <c r="B62" s="6">
        <v>478</v>
      </c>
      <c r="C62" s="6" t="s">
        <v>11</v>
      </c>
      <c r="D62" s="6">
        <v>10</v>
      </c>
      <c r="E62" s="6">
        <v>0</v>
      </c>
      <c r="F62" s="6" t="str">
        <f>HYPERLINK(".\links\cds\TI-478-cds.txt","TI-478")</f>
        <v>TI-478</v>
      </c>
      <c r="G62" s="6">
        <v>33</v>
      </c>
      <c r="I62" s="6" t="s">
        <v>8</v>
      </c>
      <c r="J62" s="6" t="s">
        <v>6</v>
      </c>
      <c r="K62" s="6">
        <v>0</v>
      </c>
      <c r="L62" s="6">
        <v>1</v>
      </c>
      <c r="M62" s="6">
        <f t="shared" si="1"/>
        <v>1</v>
      </c>
      <c r="N62" s="6" t="s">
        <v>1170</v>
      </c>
      <c r="O62" s="6" t="s">
        <v>1171</v>
      </c>
      <c r="S62" s="6" t="s">
        <v>8</v>
      </c>
      <c r="AJ62" s="6" t="s">
        <v>8</v>
      </c>
      <c r="AX62" s="6" t="s">
        <v>8</v>
      </c>
      <c r="BK62" s="6" t="s">
        <v>8</v>
      </c>
      <c r="CB62" s="6" t="s">
        <v>8</v>
      </c>
      <c r="CE62" s="6" t="s">
        <v>8</v>
      </c>
      <c r="CH62" s="6" t="s">
        <v>8</v>
      </c>
      <c r="CJ62" s="6" t="s">
        <v>8</v>
      </c>
      <c r="CL62" s="6" t="s">
        <v>8</v>
      </c>
      <c r="CN62" s="6" t="s">
        <v>8</v>
      </c>
      <c r="DB62" s="6" t="s">
        <v>8</v>
      </c>
    </row>
    <row r="63" spans="1:119" s="6" customFormat="1">
      <c r="A63" t="str">
        <f>HYPERLINK(".\links\pep\TI-473-pep.txt","TI-473")</f>
        <v>TI-473</v>
      </c>
      <c r="B63">
        <v>473</v>
      </c>
      <c r="C63" t="s">
        <v>9</v>
      </c>
      <c r="D63">
        <v>111</v>
      </c>
      <c r="E63">
        <v>0</v>
      </c>
      <c r="F63" t="str">
        <f>HYPERLINK(".\links\cds\TI-473-cds.txt","TI-473")</f>
        <v>TI-473</v>
      </c>
      <c r="G63">
        <v>336</v>
      </c>
      <c r="H63"/>
      <c r="I63" t="s">
        <v>8</v>
      </c>
      <c r="J63" t="s">
        <v>6</v>
      </c>
      <c r="K63">
        <v>0</v>
      </c>
      <c r="L63">
        <v>1</v>
      </c>
      <c r="M63">
        <f t="shared" si="1"/>
        <v>1</v>
      </c>
      <c r="N63" t="s">
        <v>1340</v>
      </c>
      <c r="O63" t="s">
        <v>1181</v>
      </c>
      <c r="P63" t="str">
        <f>HYPERLINK(".\links\GO\TI-473-GO.txt","GO")</f>
        <v>GO</v>
      </c>
      <c r="Q63" s="3">
        <v>2.0000000000000002E-31</v>
      </c>
      <c r="R63">
        <v>74.3</v>
      </c>
      <c r="S63" t="str">
        <f>HYPERLINK(".\links\NR-LIGHT\TI-473-NR-LIGHT.txt","conserved hypothetical protein")</f>
        <v>conserved hypothetical protein</v>
      </c>
      <c r="T63" t="str">
        <f>HYPERLINK("http://www.ncbi.nlm.nih.gov/sutils/blink.cgi?pid=242008321","4E-057")</f>
        <v>4E-057</v>
      </c>
      <c r="U63" t="str">
        <f>HYPERLINK("http://www.ncbi.nlm.nih.gov/protein/242008321","gi|242008321")</f>
        <v>gi|242008321</v>
      </c>
      <c r="V63">
        <v>221</v>
      </c>
      <c r="W63">
        <v>110</v>
      </c>
      <c r="X63">
        <v>152</v>
      </c>
      <c r="Y63">
        <v>95</v>
      </c>
      <c r="Z63">
        <v>73</v>
      </c>
      <c r="AA63">
        <v>5</v>
      </c>
      <c r="AB63">
        <v>0</v>
      </c>
      <c r="AC63">
        <v>42</v>
      </c>
      <c r="AD63">
        <v>1</v>
      </c>
      <c r="AE63">
        <v>1</v>
      </c>
      <c r="AF63"/>
      <c r="AG63" t="s">
        <v>13</v>
      </c>
      <c r="AH63" t="s">
        <v>51</v>
      </c>
      <c r="AI63" t="s">
        <v>268</v>
      </c>
      <c r="AJ63" t="str">
        <f>HYPERLINK(".\links\SWISSP\TI-473-SWISSP.txt","Cofilin/actin-depolymerizing factor homolog OS=Drosophila melanogaster GN=tsr")</f>
        <v>Cofilin/actin-depolymerizing factor homolog OS=Drosophila melanogaster GN=tsr</v>
      </c>
      <c r="AK63" t="str">
        <f>HYPERLINK("http://www.uniprot.org/uniprot/P45594","2E-053")</f>
        <v>2E-053</v>
      </c>
      <c r="AL63" t="s">
        <v>240</v>
      </c>
      <c r="AM63">
        <v>207</v>
      </c>
      <c r="AN63">
        <v>110</v>
      </c>
      <c r="AO63">
        <v>148</v>
      </c>
      <c r="AP63">
        <v>90</v>
      </c>
      <c r="AQ63">
        <v>75</v>
      </c>
      <c r="AR63">
        <v>10</v>
      </c>
      <c r="AS63">
        <v>0</v>
      </c>
      <c r="AT63">
        <v>38</v>
      </c>
      <c r="AU63">
        <v>1</v>
      </c>
      <c r="AV63">
        <v>1</v>
      </c>
      <c r="AW63" t="s">
        <v>52</v>
      </c>
      <c r="AX63" t="str">
        <f>HYPERLINK(".\links\PREV-RHOD-PEP\TI-473-PREV-RHOD-PEP.txt","Contig17725_24")</f>
        <v>Contig17725_24</v>
      </c>
      <c r="AY63" s="3">
        <v>2.0000000000000001E-62</v>
      </c>
      <c r="AZ63" t="s">
        <v>1149</v>
      </c>
      <c r="BA63">
        <v>233</v>
      </c>
      <c r="BB63">
        <v>110</v>
      </c>
      <c r="BC63">
        <v>843</v>
      </c>
      <c r="BD63">
        <v>99</v>
      </c>
      <c r="BE63">
        <v>13</v>
      </c>
      <c r="BF63">
        <v>1</v>
      </c>
      <c r="BG63">
        <v>0</v>
      </c>
      <c r="BH63">
        <v>733</v>
      </c>
      <c r="BI63">
        <v>1</v>
      </c>
      <c r="BJ63">
        <v>1</v>
      </c>
      <c r="BK63" t="s">
        <v>934</v>
      </c>
      <c r="BL63">
        <f>HYPERLINK(".\links\GO\TI-473-GO.txt",4E-54)</f>
        <v>4.0000000000000001E-54</v>
      </c>
      <c r="BM63" t="s">
        <v>339</v>
      </c>
      <c r="BN63" t="s">
        <v>340</v>
      </c>
      <c r="BO63" t="s">
        <v>341</v>
      </c>
      <c r="BP63" t="s">
        <v>342</v>
      </c>
      <c r="BQ63">
        <v>2E-14</v>
      </c>
      <c r="BR63" t="s">
        <v>935</v>
      </c>
      <c r="BS63" t="s">
        <v>782</v>
      </c>
      <c r="BT63" t="s">
        <v>783</v>
      </c>
      <c r="BU63" t="s">
        <v>936</v>
      </c>
      <c r="BV63">
        <v>2E-14</v>
      </c>
      <c r="BW63" t="s">
        <v>937</v>
      </c>
      <c r="BX63" t="s">
        <v>340</v>
      </c>
      <c r="BY63" t="s">
        <v>341</v>
      </c>
      <c r="BZ63" t="s">
        <v>938</v>
      </c>
      <c r="CA63">
        <v>2E-14</v>
      </c>
      <c r="CB63" t="s">
        <v>8</v>
      </c>
      <c r="CC63"/>
      <c r="CD63"/>
      <c r="CE63" t="s">
        <v>8</v>
      </c>
      <c r="CF63"/>
      <c r="CG63"/>
      <c r="CH63" t="s">
        <v>8</v>
      </c>
      <c r="CI63"/>
      <c r="CJ63" t="s">
        <v>8</v>
      </c>
      <c r="CK63"/>
      <c r="CL63" t="s">
        <v>8</v>
      </c>
      <c r="CM63"/>
      <c r="CN63" t="s">
        <v>8</v>
      </c>
      <c r="CO63"/>
      <c r="CP63"/>
      <c r="CQ63"/>
      <c r="CR63"/>
      <c r="CS63"/>
      <c r="CT63"/>
      <c r="CU63"/>
      <c r="CV63"/>
      <c r="CW63"/>
      <c r="CX63"/>
      <c r="CY63"/>
      <c r="CZ63"/>
      <c r="DA63"/>
      <c r="DB63" t="s">
        <v>8</v>
      </c>
      <c r="DC63"/>
      <c r="DD63"/>
      <c r="DE63"/>
      <c r="DF63"/>
      <c r="DG63"/>
      <c r="DH63"/>
      <c r="DI63"/>
      <c r="DJ63"/>
      <c r="DK63"/>
      <c r="DL63"/>
      <c r="DM63"/>
      <c r="DN63"/>
      <c r="DO63"/>
    </row>
    <row r="64" spans="1:119" s="6" customFormat="1">
      <c r="A64" s="6" t="str">
        <f>HYPERLINK(".\links\pep\TI-469-pep.txt","TI-469")</f>
        <v>TI-469</v>
      </c>
      <c r="B64" s="6">
        <v>469</v>
      </c>
      <c r="C64" s="6" t="s">
        <v>7</v>
      </c>
      <c r="D64" s="6">
        <v>195</v>
      </c>
      <c r="E64" s="6">
        <v>0</v>
      </c>
      <c r="F64" s="6" t="str">
        <f>HYPERLINK(".\links\cds\TI-469-cds.txt","TI-469")</f>
        <v>TI-469</v>
      </c>
      <c r="G64" s="6">
        <v>584</v>
      </c>
      <c r="I64" s="6" t="s">
        <v>29</v>
      </c>
      <c r="J64" s="6" t="s">
        <v>6</v>
      </c>
      <c r="K64" s="6">
        <v>1</v>
      </c>
      <c r="L64" s="6">
        <v>3</v>
      </c>
      <c r="M64" s="6">
        <f t="shared" si="1"/>
        <v>2</v>
      </c>
      <c r="N64" s="6" t="s">
        <v>1170</v>
      </c>
      <c r="O64" s="6" t="s">
        <v>1171</v>
      </c>
      <c r="S64" s="6" t="str">
        <f>HYPERLINK(".\links\NR-LIGHT\TI-469-NR-LIGHT.txt","AGAP009281-PA")</f>
        <v>AGAP009281-PA</v>
      </c>
      <c r="T64" s="6" t="str">
        <f>HYPERLINK("http://www.ncbi.nlm.nih.gov/sutils/blink.cgi?pid=158300081","1E-010")</f>
        <v>1E-010</v>
      </c>
      <c r="U64" s="6" t="str">
        <f>HYPERLINK("http://www.ncbi.nlm.nih.gov/protein/158300081","gi|158300081")</f>
        <v>gi|158300081</v>
      </c>
      <c r="V64" s="6">
        <v>68.2</v>
      </c>
      <c r="W64" s="6">
        <v>139</v>
      </c>
      <c r="X64" s="6">
        <v>193</v>
      </c>
      <c r="Y64" s="6">
        <v>29</v>
      </c>
      <c r="Z64" s="6">
        <v>73</v>
      </c>
      <c r="AA64" s="6">
        <v>108</v>
      </c>
      <c r="AB64" s="6">
        <v>14</v>
      </c>
      <c r="AC64" s="6">
        <v>33</v>
      </c>
      <c r="AD64" s="6">
        <v>39</v>
      </c>
      <c r="AE64" s="6">
        <v>1</v>
      </c>
      <c r="AG64" s="6" t="s">
        <v>13</v>
      </c>
      <c r="AH64" s="6" t="s">
        <v>51</v>
      </c>
      <c r="AI64" s="6" t="s">
        <v>275</v>
      </c>
      <c r="AJ64" s="6" t="str">
        <f>HYPERLINK(".\links\SWISSP\TI-469-SWISSP.txt","Apolipoprotein D OS=Macaca fascicularis GN=APOD PE=2 SV=1")</f>
        <v>Apolipoprotein D OS=Macaca fascicularis GN=APOD PE=2 SV=1</v>
      </c>
      <c r="AK64" s="6" t="str">
        <f>HYPERLINK("http://www.uniprot.org/uniprot/Q8SPI0","8E-010")</f>
        <v>8E-010</v>
      </c>
      <c r="AL64" s="6" t="s">
        <v>219</v>
      </c>
      <c r="AM64" s="6">
        <v>63.5</v>
      </c>
      <c r="AN64" s="6">
        <v>139</v>
      </c>
      <c r="AO64" s="6">
        <v>189</v>
      </c>
      <c r="AP64" s="6">
        <v>28</v>
      </c>
      <c r="AQ64" s="6">
        <v>74</v>
      </c>
      <c r="AR64" s="6">
        <v>113</v>
      </c>
      <c r="AS64" s="6">
        <v>28</v>
      </c>
      <c r="AT64" s="6">
        <v>15</v>
      </c>
      <c r="AU64" s="6">
        <v>28</v>
      </c>
      <c r="AV64" s="6">
        <v>1</v>
      </c>
      <c r="AW64" s="6" t="s">
        <v>220</v>
      </c>
      <c r="AX64" s="6" t="str">
        <f>HYPERLINK(".\links\PREV-RHOD-PEP\TI-469-PREV-RHOD-PEP.txt","Contig17106_8")</f>
        <v>Contig17106_8</v>
      </c>
      <c r="AY64" s="8">
        <v>3.0000000000000001E-62</v>
      </c>
      <c r="AZ64" s="6" t="s">
        <v>1148</v>
      </c>
      <c r="BA64" s="6">
        <v>233</v>
      </c>
      <c r="BB64" s="6">
        <v>195</v>
      </c>
      <c r="BC64" s="6">
        <v>212</v>
      </c>
      <c r="BD64" s="6">
        <v>58</v>
      </c>
      <c r="BE64" s="6">
        <v>92</v>
      </c>
      <c r="BF64" s="6">
        <v>81</v>
      </c>
      <c r="BG64" s="6">
        <v>1</v>
      </c>
      <c r="BH64" s="6">
        <v>1</v>
      </c>
      <c r="BI64" s="6">
        <v>1</v>
      </c>
      <c r="BJ64" s="6">
        <v>1</v>
      </c>
      <c r="BK64" s="6" t="s">
        <v>928</v>
      </c>
      <c r="BL64" s="6">
        <f>HYPERLINK(".\links\GO\TI-469-GO.txt",0.00000006)</f>
        <v>5.9999999999999995E-8</v>
      </c>
      <c r="BM64" s="6" t="s">
        <v>373</v>
      </c>
      <c r="BN64" s="6" t="s">
        <v>373</v>
      </c>
      <c r="BP64" s="6" t="s">
        <v>374</v>
      </c>
      <c r="BQ64" s="6">
        <v>6.0000000000000002E-6</v>
      </c>
      <c r="BR64" s="6" t="s">
        <v>929</v>
      </c>
      <c r="BS64" s="6" t="s">
        <v>323</v>
      </c>
      <c r="BT64" s="6" t="s">
        <v>930</v>
      </c>
      <c r="BU64" s="6" t="s">
        <v>931</v>
      </c>
      <c r="BV64" s="6">
        <v>6.0000000000000002E-6</v>
      </c>
      <c r="BW64" s="6" t="s">
        <v>932</v>
      </c>
      <c r="BX64" s="6" t="s">
        <v>373</v>
      </c>
      <c r="BZ64" s="6" t="s">
        <v>933</v>
      </c>
      <c r="CA64" s="6">
        <v>6.0000000000000002E-6</v>
      </c>
      <c r="CB64" s="6" t="s">
        <v>8</v>
      </c>
      <c r="CE64" s="6" t="s">
        <v>8</v>
      </c>
      <c r="CH64" s="6" t="s">
        <v>8</v>
      </c>
      <c r="CJ64" s="6" t="s">
        <v>8</v>
      </c>
      <c r="CL64" s="6" t="s">
        <v>8</v>
      </c>
      <c r="CN64" s="6" t="s">
        <v>8</v>
      </c>
      <c r="DB64" s="6" t="s">
        <v>8</v>
      </c>
    </row>
    <row r="65" spans="1:119" s="6" customFormat="1">
      <c r="A65" t="str">
        <f>HYPERLINK(".\links\pep\TI-468-pep.txt","TI-468")</f>
        <v>TI-468</v>
      </c>
      <c r="B65">
        <v>468</v>
      </c>
      <c r="C65" t="s">
        <v>7</v>
      </c>
      <c r="D65">
        <v>100</v>
      </c>
      <c r="E65">
        <v>0</v>
      </c>
      <c r="F65" t="str">
        <f>HYPERLINK(".\links\cds\TI-468-cds.txt","TI-468")</f>
        <v>TI-468</v>
      </c>
      <c r="G65">
        <v>303</v>
      </c>
      <c r="H65"/>
      <c r="I65" t="s">
        <v>29</v>
      </c>
      <c r="J65" t="s">
        <v>6</v>
      </c>
      <c r="K65">
        <v>0</v>
      </c>
      <c r="L65">
        <v>2</v>
      </c>
      <c r="M65">
        <f t="shared" si="1"/>
        <v>2</v>
      </c>
      <c r="N65" t="s">
        <v>1205</v>
      </c>
      <c r="O65" t="s">
        <v>1178</v>
      </c>
      <c r="P65" t="str">
        <f>HYPERLINK(".\links\NR-LIGHT\TI-468-NR-LIGHT.txt","NR-LIGHT")</f>
        <v>NR-LIGHT</v>
      </c>
      <c r="Q65" s="3">
        <v>3.9999999999999997E-24</v>
      </c>
      <c r="R65">
        <v>82</v>
      </c>
      <c r="S65" t="str">
        <f>HYPERLINK(".\links\NR-LIGHT\TI-468-NR-LIGHT.txt","hypothetical protein")</f>
        <v>hypothetical protein</v>
      </c>
      <c r="T65" t="str">
        <f>HYPERLINK("http://www.ncbi.nlm.nih.gov/sutils/blink.cgi?pid=149898849","4E-024")</f>
        <v>4E-024</v>
      </c>
      <c r="U65" t="str">
        <f>HYPERLINK("http://www.ncbi.nlm.nih.gov/protein/149898849","gi|149898849")</f>
        <v>gi|149898849</v>
      </c>
      <c r="V65">
        <v>112</v>
      </c>
      <c r="W65">
        <v>81</v>
      </c>
      <c r="X65">
        <v>100</v>
      </c>
      <c r="Y65">
        <v>68</v>
      </c>
      <c r="Z65">
        <v>82</v>
      </c>
      <c r="AA65">
        <v>26</v>
      </c>
      <c r="AB65">
        <v>0</v>
      </c>
      <c r="AC65">
        <v>1</v>
      </c>
      <c r="AD65">
        <v>1</v>
      </c>
      <c r="AE65">
        <v>1</v>
      </c>
      <c r="AF65"/>
      <c r="AG65" t="s">
        <v>13</v>
      </c>
      <c r="AH65" t="s">
        <v>51</v>
      </c>
      <c r="AI65" t="s">
        <v>273</v>
      </c>
      <c r="AJ65" t="s">
        <v>8</v>
      </c>
      <c r="AK65"/>
      <c r="AL65"/>
      <c r="AM65"/>
      <c r="AN65"/>
      <c r="AO65"/>
      <c r="AP65"/>
      <c r="AQ65"/>
      <c r="AR65"/>
      <c r="AS65"/>
      <c r="AT65"/>
      <c r="AU65"/>
      <c r="AV65"/>
      <c r="AW65"/>
      <c r="AX65" t="str">
        <f>HYPERLINK(".\links\PREV-RHOD-PEP\TI-468-PREV-RHOD-PEP.txt","Contig16785_1")</f>
        <v>Contig16785_1</v>
      </c>
      <c r="AY65" s="3">
        <v>1.0000000000000001E-5</v>
      </c>
      <c r="AZ65" t="s">
        <v>1147</v>
      </c>
      <c r="BA65">
        <v>44.7</v>
      </c>
      <c r="BB65">
        <v>18</v>
      </c>
      <c r="BC65">
        <v>41</v>
      </c>
      <c r="BD65">
        <v>100</v>
      </c>
      <c r="BE65">
        <v>46</v>
      </c>
      <c r="BF65">
        <v>0</v>
      </c>
      <c r="BG65">
        <v>0</v>
      </c>
      <c r="BH65">
        <v>1</v>
      </c>
      <c r="BI65">
        <v>1</v>
      </c>
      <c r="BJ65">
        <v>1</v>
      </c>
      <c r="BK65" t="s">
        <v>8</v>
      </c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 t="s">
        <v>8</v>
      </c>
      <c r="CC65"/>
      <c r="CD65"/>
      <c r="CE65" t="s">
        <v>8</v>
      </c>
      <c r="CF65"/>
      <c r="CG65"/>
      <c r="CH65" t="s">
        <v>8</v>
      </c>
      <c r="CI65"/>
      <c r="CJ65" t="s">
        <v>8</v>
      </c>
      <c r="CK65"/>
      <c r="CL65" t="s">
        <v>8</v>
      </c>
      <c r="CM65"/>
      <c r="CN65" t="s">
        <v>8</v>
      </c>
      <c r="CO65"/>
      <c r="CP65"/>
      <c r="CQ65"/>
      <c r="CR65"/>
      <c r="CS65"/>
      <c r="CT65"/>
      <c r="CU65"/>
      <c r="CV65"/>
      <c r="CW65"/>
      <c r="CX65"/>
      <c r="CY65"/>
      <c r="CZ65"/>
      <c r="DA65"/>
      <c r="DB65" t="s">
        <v>8</v>
      </c>
      <c r="DC65"/>
      <c r="DD65"/>
      <c r="DE65"/>
      <c r="DF65"/>
      <c r="DG65"/>
      <c r="DH65"/>
      <c r="DI65"/>
      <c r="DJ65"/>
      <c r="DK65"/>
      <c r="DL65"/>
      <c r="DM65"/>
      <c r="DN65"/>
      <c r="DO65"/>
    </row>
    <row r="66" spans="1:119" s="6" customFormat="1">
      <c r="A66" s="6" t="str">
        <f>HYPERLINK(".\links\pep\TI-466-pep.txt","TI-466")</f>
        <v>TI-466</v>
      </c>
      <c r="B66" s="6">
        <v>466</v>
      </c>
      <c r="C66" s="6" t="s">
        <v>10</v>
      </c>
      <c r="D66" s="6">
        <v>64</v>
      </c>
      <c r="E66" s="6">
        <v>0</v>
      </c>
      <c r="F66" s="6" t="str">
        <f>HYPERLINK(".\links\cds\TI-466-cds.txt","TI-466")</f>
        <v>TI-466</v>
      </c>
      <c r="G66" s="6">
        <v>192</v>
      </c>
      <c r="I66" s="6" t="s">
        <v>8</v>
      </c>
      <c r="J66" s="6" t="s">
        <v>8</v>
      </c>
      <c r="K66" s="6">
        <v>0</v>
      </c>
      <c r="L66" s="6">
        <v>3</v>
      </c>
      <c r="M66" s="6">
        <f t="shared" si="1"/>
        <v>3</v>
      </c>
      <c r="N66" s="6" t="s">
        <v>1170</v>
      </c>
      <c r="O66" s="6" t="s">
        <v>1171</v>
      </c>
      <c r="S66" s="6" t="s">
        <v>8</v>
      </c>
      <c r="AJ66" s="6" t="s">
        <v>8</v>
      </c>
      <c r="AX66" s="6" t="s">
        <v>8</v>
      </c>
      <c r="BK66" s="6" t="s">
        <v>8</v>
      </c>
      <c r="CB66" s="6" t="s">
        <v>8</v>
      </c>
      <c r="CE66" s="6" t="s">
        <v>8</v>
      </c>
      <c r="CH66" s="6" t="s">
        <v>8</v>
      </c>
      <c r="CJ66" s="6" t="s">
        <v>8</v>
      </c>
      <c r="CL66" s="6" t="s">
        <v>8</v>
      </c>
      <c r="CN66" s="6" t="s">
        <v>8</v>
      </c>
      <c r="DB66" s="6" t="s">
        <v>8</v>
      </c>
    </row>
    <row r="67" spans="1:119" s="6" customFormat="1">
      <c r="A67" s="6" t="str">
        <f>HYPERLINK(".\links\pep\TI-465-pep.txt","TI-465")</f>
        <v>TI-465</v>
      </c>
      <c r="B67" s="6">
        <v>465</v>
      </c>
      <c r="C67" s="6" t="s">
        <v>27</v>
      </c>
      <c r="D67" s="6">
        <v>117</v>
      </c>
      <c r="E67" s="6">
        <v>0</v>
      </c>
      <c r="F67" s="6" t="str">
        <f>HYPERLINK(".\links\cds\TI-465-cds.txt","TI-465")</f>
        <v>TI-465</v>
      </c>
      <c r="G67" s="6">
        <v>354</v>
      </c>
      <c r="I67" s="6" t="s">
        <v>8</v>
      </c>
      <c r="J67" s="6" t="s">
        <v>6</v>
      </c>
      <c r="K67" s="6">
        <v>1</v>
      </c>
      <c r="L67" s="6">
        <v>2</v>
      </c>
      <c r="M67" s="6">
        <f t="shared" si="1"/>
        <v>1</v>
      </c>
      <c r="N67" s="6" t="s">
        <v>1170</v>
      </c>
      <c r="O67" s="6" t="s">
        <v>1171</v>
      </c>
      <c r="S67" s="6" t="str">
        <f>HYPERLINK(".\links\NR-LIGHT\TI-465-NR-LIGHT.txt","trpm, isoform F")</f>
        <v>trpm, isoform F</v>
      </c>
      <c r="T67" s="6" t="str">
        <f>HYPERLINK("http://www.ncbi.nlm.nih.gov/sutils/blink.cgi?pid=221330281","0.097")</f>
        <v>0.097</v>
      </c>
      <c r="U67" s="6" t="str">
        <f>HYPERLINK("http://www.ncbi.nlm.nih.gov/protein/221330281","gi|221330281")</f>
        <v>gi|221330281</v>
      </c>
      <c r="V67" s="6">
        <v>37.700000000000003</v>
      </c>
      <c r="W67" s="6">
        <v>75</v>
      </c>
      <c r="X67" s="6">
        <v>1942</v>
      </c>
      <c r="Y67" s="6">
        <v>33</v>
      </c>
      <c r="Z67" s="6">
        <v>4</v>
      </c>
      <c r="AA67" s="6">
        <v>57</v>
      </c>
      <c r="AB67" s="6">
        <v>11</v>
      </c>
      <c r="AC67" s="6">
        <v>1492</v>
      </c>
      <c r="AD67" s="6">
        <v>21</v>
      </c>
      <c r="AE67" s="6">
        <v>1</v>
      </c>
      <c r="AG67" s="6" t="s">
        <v>13</v>
      </c>
      <c r="AH67" s="6" t="s">
        <v>51</v>
      </c>
      <c r="AI67" s="6" t="s">
        <v>52</v>
      </c>
      <c r="AJ67" s="6" t="s">
        <v>8</v>
      </c>
      <c r="AX67" s="6" t="str">
        <f>HYPERLINK(".\links\PREV-RHOD-PEP\TI-465-PREV-RHOD-PEP.txt","Contig7471_2")</f>
        <v>Contig7471_2</v>
      </c>
      <c r="AY67" s="8">
        <v>4.0000000000000002E-22</v>
      </c>
      <c r="AZ67" s="6" t="s">
        <v>1069</v>
      </c>
      <c r="BA67" s="6">
        <v>99.4</v>
      </c>
      <c r="BB67" s="6">
        <v>109</v>
      </c>
      <c r="BC67" s="6">
        <v>410</v>
      </c>
      <c r="BD67" s="6">
        <v>47</v>
      </c>
      <c r="BE67" s="6">
        <v>27</v>
      </c>
      <c r="BF67" s="6">
        <v>58</v>
      </c>
      <c r="BG67" s="6">
        <v>3</v>
      </c>
      <c r="BH67" s="6">
        <v>145</v>
      </c>
      <c r="BI67" s="6">
        <v>8</v>
      </c>
      <c r="BJ67" s="6">
        <v>1</v>
      </c>
      <c r="BK67" s="6" t="s">
        <v>920</v>
      </c>
      <c r="BL67" s="6">
        <f>HYPERLINK(".\links\GO\TI-465-GO.txt",0.005)</f>
        <v>5.0000000000000001E-3</v>
      </c>
      <c r="BM67" s="6" t="s">
        <v>921</v>
      </c>
      <c r="BN67" s="6" t="s">
        <v>345</v>
      </c>
      <c r="BO67" s="6" t="s">
        <v>346</v>
      </c>
      <c r="BP67" s="6" t="s">
        <v>922</v>
      </c>
      <c r="BQ67" s="6">
        <v>5.0000000000000001E-3</v>
      </c>
      <c r="BR67" s="6" t="s">
        <v>8</v>
      </c>
      <c r="BS67" s="6" t="s">
        <v>8</v>
      </c>
      <c r="BT67" s="6" t="s">
        <v>8</v>
      </c>
      <c r="BU67" s="6" t="s">
        <v>8</v>
      </c>
      <c r="BV67" s="6" t="s">
        <v>8</v>
      </c>
      <c r="BW67" s="6" t="s">
        <v>923</v>
      </c>
      <c r="BX67" s="6" t="s">
        <v>345</v>
      </c>
      <c r="BY67" s="6" t="s">
        <v>346</v>
      </c>
      <c r="BZ67" s="6" t="s">
        <v>924</v>
      </c>
      <c r="CA67" s="6">
        <v>5.0000000000000001E-3</v>
      </c>
      <c r="CB67" s="6" t="s">
        <v>8</v>
      </c>
      <c r="CE67" s="6" t="s">
        <v>8</v>
      </c>
      <c r="CH67" s="6" t="s">
        <v>8</v>
      </c>
      <c r="CJ67" s="6" t="s">
        <v>8</v>
      </c>
      <c r="CL67" s="6" t="s">
        <v>8</v>
      </c>
      <c r="CN67" s="6" t="s">
        <v>8</v>
      </c>
      <c r="DB67" s="6" t="s">
        <v>8</v>
      </c>
    </row>
    <row r="68" spans="1:119" s="6" customFormat="1">
      <c r="A68" s="6" t="str">
        <f>HYPERLINK(".\links\pep\TI-454-pep.txt","TI-454")</f>
        <v>TI-454</v>
      </c>
      <c r="B68" s="6">
        <v>454</v>
      </c>
      <c r="C68" s="6" t="s">
        <v>27</v>
      </c>
      <c r="D68" s="6">
        <v>15</v>
      </c>
      <c r="E68" s="6">
        <v>0</v>
      </c>
      <c r="F68" s="6" t="str">
        <f>HYPERLINK(".\links\cds\TI-454-cds.txt","TI-454")</f>
        <v>TI-454</v>
      </c>
      <c r="G68" s="6">
        <v>48</v>
      </c>
      <c r="I68" s="6" t="s">
        <v>8</v>
      </c>
      <c r="J68" s="6" t="s">
        <v>6</v>
      </c>
      <c r="K68" s="6">
        <v>0</v>
      </c>
      <c r="L68" s="6">
        <v>1</v>
      </c>
      <c r="M68" s="6">
        <f t="shared" si="1"/>
        <v>1</v>
      </c>
      <c r="N68" s="6" t="s">
        <v>1170</v>
      </c>
      <c r="O68" s="6" t="s">
        <v>1171</v>
      </c>
      <c r="S68" s="6" t="s">
        <v>8</v>
      </c>
      <c r="AJ68" s="6" t="s">
        <v>8</v>
      </c>
      <c r="AX68" s="6" t="s">
        <v>8</v>
      </c>
      <c r="BK68" s="6" t="s">
        <v>8</v>
      </c>
      <c r="CB68" s="6" t="s">
        <v>8</v>
      </c>
      <c r="CE68" s="6" t="s">
        <v>8</v>
      </c>
      <c r="CH68" s="6" t="s">
        <v>8</v>
      </c>
      <c r="CJ68" s="6" t="s">
        <v>8</v>
      </c>
      <c r="CL68" s="6" t="s">
        <v>8</v>
      </c>
      <c r="CN68" s="6" t="s">
        <v>8</v>
      </c>
      <c r="DB68" s="6" t="s">
        <v>8</v>
      </c>
    </row>
    <row r="69" spans="1:119" s="6" customFormat="1">
      <c r="A69" t="str">
        <f>HYPERLINK(".\links\pep\TI-450-pep.txt","TI-450")</f>
        <v>TI-450</v>
      </c>
      <c r="B69">
        <v>450</v>
      </c>
      <c r="C69" t="s">
        <v>7</v>
      </c>
      <c r="D69">
        <v>169</v>
      </c>
      <c r="E69">
        <v>0</v>
      </c>
      <c r="F69" t="str">
        <f>HYPERLINK(".\links\cds\TI-450-cds.txt","TI-450")</f>
        <v>TI-450</v>
      </c>
      <c r="G69">
        <v>510</v>
      </c>
      <c r="H69"/>
      <c r="I69" t="s">
        <v>29</v>
      </c>
      <c r="J69" t="s">
        <v>6</v>
      </c>
      <c r="K69">
        <v>0</v>
      </c>
      <c r="L69">
        <v>2</v>
      </c>
      <c r="M69">
        <f t="shared" si="1"/>
        <v>2</v>
      </c>
      <c r="N69" t="s">
        <v>1233</v>
      </c>
      <c r="O69" t="s">
        <v>1169</v>
      </c>
      <c r="P69" t="str">
        <f>HYPERLINK(".\links\NR-LIGHT\TI-450-NR-LIGHT.txt","NR-LIGHT")</f>
        <v>NR-LIGHT</v>
      </c>
      <c r="Q69" s="3">
        <v>1.9999999999999999E-47</v>
      </c>
      <c r="R69">
        <v>79.7</v>
      </c>
      <c r="S69" t="str">
        <f>HYPERLINK(".\links\NR-LIGHT\TI-450-NR-LIGHT.txt","similar to ribosomal protein L35Ae")</f>
        <v>similar to ribosomal protein L35Ae</v>
      </c>
      <c r="T69" t="str">
        <f>HYPERLINK("http://www.ncbi.nlm.nih.gov/sutils/blink.cgi?pid=91094995","2E-047")</f>
        <v>2E-047</v>
      </c>
      <c r="U69" t="str">
        <f>HYPERLINK("http://www.ncbi.nlm.nih.gov/protein/91094995","gi|91094995")</f>
        <v>gi|91094995</v>
      </c>
      <c r="V69">
        <v>190</v>
      </c>
      <c r="W69">
        <v>113</v>
      </c>
      <c r="X69">
        <v>143</v>
      </c>
      <c r="Y69">
        <v>81</v>
      </c>
      <c r="Z69">
        <v>80</v>
      </c>
      <c r="AA69">
        <v>21</v>
      </c>
      <c r="AB69">
        <v>1</v>
      </c>
      <c r="AC69">
        <v>30</v>
      </c>
      <c r="AD69">
        <v>57</v>
      </c>
      <c r="AE69">
        <v>1</v>
      </c>
      <c r="AF69"/>
      <c r="AG69" t="s">
        <v>13</v>
      </c>
      <c r="AH69" t="s">
        <v>51</v>
      </c>
      <c r="AI69" t="s">
        <v>266</v>
      </c>
      <c r="AJ69" t="str">
        <f>HYPERLINK(".\links\SWISSP\TI-450-SWISSP.txt","60S ribosomal protein L35a OS=Pongo abelii GN=RPL35A PE=3 SV=1")</f>
        <v>60S ribosomal protein L35a OS=Pongo abelii GN=RPL35A PE=3 SV=1</v>
      </c>
      <c r="AK69" t="str">
        <f>HYPERLINK("http://www.uniprot.org/uniprot/Q5R8K6","5E-036")</f>
        <v>5E-036</v>
      </c>
      <c r="AL69" t="s">
        <v>234</v>
      </c>
      <c r="AM69">
        <v>150</v>
      </c>
      <c r="AN69">
        <v>107</v>
      </c>
      <c r="AO69">
        <v>110</v>
      </c>
      <c r="AP69">
        <v>65</v>
      </c>
      <c r="AQ69">
        <v>98</v>
      </c>
      <c r="AR69">
        <v>38</v>
      </c>
      <c r="AS69">
        <v>2</v>
      </c>
      <c r="AT69">
        <v>3</v>
      </c>
      <c r="AU69">
        <v>60</v>
      </c>
      <c r="AV69">
        <v>1</v>
      </c>
      <c r="AW69" t="s">
        <v>121</v>
      </c>
      <c r="AX69" t="str">
        <f>HYPERLINK(".\links\PREV-RHOD-PEP\TI-450-PREV-RHOD-PEP.txt","Contig18035_25")</f>
        <v>Contig18035_25</v>
      </c>
      <c r="AY69" s="3">
        <v>4.9999999999999996E-66</v>
      </c>
      <c r="AZ69" t="s">
        <v>1143</v>
      </c>
      <c r="BA69">
        <v>245</v>
      </c>
      <c r="BB69">
        <v>117</v>
      </c>
      <c r="BC69">
        <v>169</v>
      </c>
      <c r="BD69">
        <v>98</v>
      </c>
      <c r="BE69">
        <v>70</v>
      </c>
      <c r="BF69">
        <v>2</v>
      </c>
      <c r="BG69">
        <v>0</v>
      </c>
      <c r="BH69">
        <v>52</v>
      </c>
      <c r="BI69">
        <v>52</v>
      </c>
      <c r="BJ69">
        <v>1</v>
      </c>
      <c r="BK69" t="s">
        <v>904</v>
      </c>
      <c r="BL69">
        <f>HYPERLINK(".\links\GO\TI-450-GO.txt",2E-40)</f>
        <v>1.9999999999999999E-40</v>
      </c>
      <c r="BM69" t="s">
        <v>329</v>
      </c>
      <c r="BN69" t="s">
        <v>330</v>
      </c>
      <c r="BO69" t="s">
        <v>331</v>
      </c>
      <c r="BP69" t="s">
        <v>332</v>
      </c>
      <c r="BQ69" s="3">
        <v>1.9999999999999999E-40</v>
      </c>
      <c r="BR69" t="s">
        <v>333</v>
      </c>
      <c r="BS69" t="s">
        <v>323</v>
      </c>
      <c r="BT69" t="s">
        <v>334</v>
      </c>
      <c r="BU69" t="s">
        <v>335</v>
      </c>
      <c r="BV69" s="3">
        <v>1.9999999999999999E-40</v>
      </c>
      <c r="BW69" t="s">
        <v>336</v>
      </c>
      <c r="BX69" t="s">
        <v>330</v>
      </c>
      <c r="BY69" t="s">
        <v>331</v>
      </c>
      <c r="BZ69" t="s">
        <v>337</v>
      </c>
      <c r="CA69" s="3">
        <v>1.9999999999999999E-40</v>
      </c>
      <c r="CB69" t="s">
        <v>8</v>
      </c>
      <c r="CC69"/>
      <c r="CD69"/>
      <c r="CE69" t="s">
        <v>8</v>
      </c>
      <c r="CF69"/>
      <c r="CG69"/>
      <c r="CH69" t="s">
        <v>8</v>
      </c>
      <c r="CI69"/>
      <c r="CJ69" t="s">
        <v>8</v>
      </c>
      <c r="CK69"/>
      <c r="CL69" t="s">
        <v>8</v>
      </c>
      <c r="CM69"/>
      <c r="CN69" t="s">
        <v>8</v>
      </c>
      <c r="CO69"/>
      <c r="CP69"/>
      <c r="CQ69"/>
      <c r="CR69"/>
      <c r="CS69"/>
      <c r="CT69"/>
      <c r="CU69"/>
      <c r="CV69"/>
      <c r="CW69"/>
      <c r="CX69"/>
      <c r="CY69"/>
      <c r="CZ69"/>
      <c r="DA69"/>
      <c r="DB69" t="s">
        <v>8</v>
      </c>
      <c r="DC69"/>
      <c r="DD69"/>
      <c r="DE69"/>
      <c r="DF69"/>
      <c r="DG69"/>
      <c r="DH69"/>
      <c r="DI69"/>
      <c r="DJ69"/>
      <c r="DK69"/>
      <c r="DL69"/>
      <c r="DM69"/>
      <c r="DN69"/>
      <c r="DO69"/>
    </row>
    <row r="70" spans="1:119" s="6" customFormat="1">
      <c r="A70" s="6" t="str">
        <f>HYPERLINK(".\links\pep\TI-45-pep.txt","TI-45")</f>
        <v>TI-45</v>
      </c>
      <c r="B70" s="6">
        <v>45</v>
      </c>
      <c r="C70" s="6" t="s">
        <v>9</v>
      </c>
      <c r="D70" s="6">
        <v>20</v>
      </c>
      <c r="E70" s="6">
        <v>0</v>
      </c>
      <c r="F70" s="6" t="str">
        <f>HYPERLINK(".\links\cds\TI-45-cds.txt","TI-45")</f>
        <v>TI-45</v>
      </c>
      <c r="G70" s="6">
        <v>63</v>
      </c>
      <c r="I70" s="6" t="s">
        <v>8</v>
      </c>
      <c r="J70" s="6" t="s">
        <v>6</v>
      </c>
      <c r="K70" s="6">
        <v>0</v>
      </c>
      <c r="L70" s="6">
        <v>1</v>
      </c>
      <c r="M70" s="6">
        <f t="shared" si="1"/>
        <v>1</v>
      </c>
      <c r="N70" s="6" t="s">
        <v>1170</v>
      </c>
      <c r="O70" s="6" t="s">
        <v>1171</v>
      </c>
      <c r="S70" s="6" t="s">
        <v>8</v>
      </c>
      <c r="AJ70" s="6" t="s">
        <v>8</v>
      </c>
      <c r="AX70" s="6" t="s">
        <v>8</v>
      </c>
      <c r="BK70" s="6" t="s">
        <v>8</v>
      </c>
      <c r="CB70" s="6" t="s">
        <v>8</v>
      </c>
      <c r="CE70" s="6" t="s">
        <v>8</v>
      </c>
      <c r="CH70" s="6" t="s">
        <v>8</v>
      </c>
      <c r="CJ70" s="6" t="s">
        <v>8</v>
      </c>
      <c r="CL70" s="6" t="s">
        <v>8</v>
      </c>
      <c r="CN70" s="6" t="s">
        <v>8</v>
      </c>
      <c r="DB70" s="6" t="s">
        <v>8</v>
      </c>
    </row>
    <row r="71" spans="1:119" s="6" customFormat="1">
      <c r="A71" t="str">
        <f>HYPERLINK(".\links\pep\TI-447-pep.txt","TI-447")</f>
        <v>TI-447</v>
      </c>
      <c r="B71">
        <v>447</v>
      </c>
      <c r="C71" t="s">
        <v>12</v>
      </c>
      <c r="D71">
        <v>211</v>
      </c>
      <c r="E71">
        <v>0</v>
      </c>
      <c r="F71" t="str">
        <f>HYPERLINK(".\links\cds\TI-447-cds.txt","TI-447")</f>
        <v>TI-447</v>
      </c>
      <c r="G71">
        <v>632</v>
      </c>
      <c r="H71"/>
      <c r="I71" t="s">
        <v>8</v>
      </c>
      <c r="J71" t="s">
        <v>8</v>
      </c>
      <c r="K71">
        <v>0</v>
      </c>
      <c r="L71">
        <v>2</v>
      </c>
      <c r="M71">
        <f t="shared" si="1"/>
        <v>2</v>
      </c>
      <c r="N71" t="s">
        <v>1232</v>
      </c>
      <c r="O71" t="s">
        <v>1178</v>
      </c>
      <c r="P71" t="str">
        <f>HYPERLINK(".\links\SWISSP\TI-447-SWISSP.txt","SWISSP")</f>
        <v>SWISSP</v>
      </c>
      <c r="Q71" s="3">
        <v>2.9999999999999999E-69</v>
      </c>
      <c r="R71">
        <v>69.3</v>
      </c>
      <c r="S71" t="str">
        <f>HYPERLINK(".\links\NR-LIGHT\TI-447-NR-LIGHT.txt","triosephosphate isomerase")</f>
        <v>triosephosphate isomerase</v>
      </c>
      <c r="T71" t="str">
        <f>HYPERLINK("http://www.ncbi.nlm.nih.gov/sutils/blink.cgi?pid=45382061","1E-068")</f>
        <v>1E-068</v>
      </c>
      <c r="U71" t="str">
        <f>HYPERLINK("http://www.ncbi.nlm.nih.gov/protein/45382061","gi|45382061")</f>
        <v>gi|45382061</v>
      </c>
      <c r="V71">
        <v>261</v>
      </c>
      <c r="W71">
        <v>171</v>
      </c>
      <c r="X71">
        <v>248</v>
      </c>
      <c r="Y71">
        <v>68</v>
      </c>
      <c r="Z71">
        <v>69</v>
      </c>
      <c r="AA71">
        <v>54</v>
      </c>
      <c r="AB71">
        <v>0</v>
      </c>
      <c r="AC71">
        <v>4</v>
      </c>
      <c r="AD71">
        <v>40</v>
      </c>
      <c r="AE71">
        <v>1</v>
      </c>
      <c r="AF71"/>
      <c r="AG71" t="s">
        <v>13</v>
      </c>
      <c r="AH71" t="s">
        <v>51</v>
      </c>
      <c r="AI71" t="s">
        <v>126</v>
      </c>
      <c r="AJ71" t="str">
        <f>HYPERLINK(".\links\SWISSP\TI-447-SWISSP.txt","Triosephosphate isomerase OS=Gallus gallus GN=TPI1 PE=1 SV=2")</f>
        <v>Triosephosphate isomerase OS=Gallus gallus GN=TPI1 PE=1 SV=2</v>
      </c>
      <c r="AK71" t="str">
        <f>HYPERLINK("http://www.uniprot.org/uniprot/P00940","3E-069")</f>
        <v>3E-069</v>
      </c>
      <c r="AL71" t="s">
        <v>232</v>
      </c>
      <c r="AM71">
        <v>261</v>
      </c>
      <c r="AN71">
        <v>171</v>
      </c>
      <c r="AO71">
        <v>248</v>
      </c>
      <c r="AP71">
        <v>68</v>
      </c>
      <c r="AQ71">
        <v>69</v>
      </c>
      <c r="AR71">
        <v>54</v>
      </c>
      <c r="AS71">
        <v>0</v>
      </c>
      <c r="AT71">
        <v>4</v>
      </c>
      <c r="AU71">
        <v>40</v>
      </c>
      <c r="AV71">
        <v>1</v>
      </c>
      <c r="AW71" t="s">
        <v>126</v>
      </c>
      <c r="AX71" t="str">
        <f>HYPERLINK(".\links\PREV-RHOD-PEP\TI-447-PREV-RHOD-PEP.txt","Contig18070_346")</f>
        <v>Contig18070_346</v>
      </c>
      <c r="AY71" s="3">
        <v>6.0000000000000002E-83</v>
      </c>
      <c r="AZ71" t="s">
        <v>1140</v>
      </c>
      <c r="BA71">
        <v>302</v>
      </c>
      <c r="BB71">
        <v>172</v>
      </c>
      <c r="BC71">
        <v>248</v>
      </c>
      <c r="BD71">
        <v>81</v>
      </c>
      <c r="BE71">
        <v>70</v>
      </c>
      <c r="BF71">
        <v>32</v>
      </c>
      <c r="BG71">
        <v>0</v>
      </c>
      <c r="BH71">
        <v>1</v>
      </c>
      <c r="BI71">
        <v>39</v>
      </c>
      <c r="BJ71">
        <v>1</v>
      </c>
      <c r="BK71" t="s">
        <v>894</v>
      </c>
      <c r="BL71">
        <f>HYPERLINK(".\links\GO\TI-447-GO.txt",7E-66)</f>
        <v>7.0000000000000001E-66</v>
      </c>
      <c r="BM71" t="s">
        <v>895</v>
      </c>
      <c r="BN71" t="s">
        <v>345</v>
      </c>
      <c r="BO71" t="s">
        <v>788</v>
      </c>
      <c r="BP71" t="s">
        <v>896</v>
      </c>
      <c r="BQ71" s="3">
        <v>9.9999999999999992E-66</v>
      </c>
      <c r="BR71" t="s">
        <v>389</v>
      </c>
      <c r="BS71" t="s">
        <v>323</v>
      </c>
      <c r="BT71" t="s">
        <v>390</v>
      </c>
      <c r="BU71" t="s">
        <v>391</v>
      </c>
      <c r="BV71" s="3">
        <v>9.9999999999999992E-66</v>
      </c>
      <c r="BW71" t="s">
        <v>897</v>
      </c>
      <c r="BX71" t="s">
        <v>345</v>
      </c>
      <c r="BY71" t="s">
        <v>788</v>
      </c>
      <c r="BZ71" t="s">
        <v>898</v>
      </c>
      <c r="CA71" s="3">
        <v>9.9999999999999992E-66</v>
      </c>
      <c r="CB71" t="s">
        <v>8</v>
      </c>
      <c r="CC71"/>
      <c r="CD71"/>
      <c r="CE71" t="s">
        <v>8</v>
      </c>
      <c r="CF71"/>
      <c r="CG71"/>
      <c r="CH71" t="s">
        <v>8</v>
      </c>
      <c r="CI71"/>
      <c r="CJ71" t="s">
        <v>8</v>
      </c>
      <c r="CK71"/>
      <c r="CL71" t="s">
        <v>8</v>
      </c>
      <c r="CM71"/>
      <c r="CN71" t="s">
        <v>8</v>
      </c>
      <c r="CO71"/>
      <c r="CP71"/>
      <c r="CQ71"/>
      <c r="CR71"/>
      <c r="CS71"/>
      <c r="CT71"/>
      <c r="CU71"/>
      <c r="CV71"/>
      <c r="CW71"/>
      <c r="CX71"/>
      <c r="CY71"/>
      <c r="CZ71"/>
      <c r="DA71"/>
      <c r="DB71" t="s">
        <v>8</v>
      </c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1:119" s="6" customFormat="1">
      <c r="A72" s="6" t="str">
        <f>HYPERLINK(".\links\pep\TI-437-pep.txt","TI-437")</f>
        <v>TI-437</v>
      </c>
      <c r="B72" s="6">
        <v>437</v>
      </c>
      <c r="C72" s="6" t="s">
        <v>12</v>
      </c>
      <c r="D72" s="6">
        <v>93</v>
      </c>
      <c r="E72" s="6">
        <v>0</v>
      </c>
      <c r="F72" s="6" t="str">
        <f>HYPERLINK(".\links\cds\TI-437-cds.txt","TI-437")</f>
        <v>TI-437</v>
      </c>
      <c r="G72" s="6">
        <v>282</v>
      </c>
      <c r="I72" s="6" t="s">
        <v>8</v>
      </c>
      <c r="J72" s="6" t="s">
        <v>6</v>
      </c>
      <c r="K72" s="6">
        <v>0</v>
      </c>
      <c r="L72" s="6">
        <v>1</v>
      </c>
      <c r="M72" s="6">
        <f t="shared" si="1"/>
        <v>1</v>
      </c>
      <c r="N72" s="6" t="s">
        <v>1170</v>
      </c>
      <c r="O72" s="6" t="s">
        <v>1171</v>
      </c>
      <c r="S72" s="6" t="str">
        <f>HYPERLINK(".\links\NR-LIGHT\TI-437-NR-LIGHT.txt","obstructor-J")</f>
        <v>obstructor-J</v>
      </c>
      <c r="T72" s="6" t="str">
        <f>HYPERLINK("http://www.ncbi.nlm.nih.gov/sutils/blink.cgi?pid=24667196","2.1")</f>
        <v>2.1</v>
      </c>
      <c r="U72" s="6" t="str">
        <f>HYPERLINK("http://www.ncbi.nlm.nih.gov/protein/24667196","gi|24667196")</f>
        <v>gi|24667196</v>
      </c>
      <c r="V72" s="6">
        <v>33.5</v>
      </c>
      <c r="W72" s="6">
        <v>44</v>
      </c>
      <c r="X72" s="6">
        <v>353</v>
      </c>
      <c r="Y72" s="6">
        <v>37</v>
      </c>
      <c r="Z72" s="6">
        <v>13</v>
      </c>
      <c r="AA72" s="6">
        <v>28</v>
      </c>
      <c r="AB72" s="6">
        <v>1</v>
      </c>
      <c r="AC72" s="6">
        <v>89</v>
      </c>
      <c r="AD72" s="6">
        <v>39</v>
      </c>
      <c r="AE72" s="6">
        <v>1</v>
      </c>
      <c r="AG72" s="6" t="s">
        <v>13</v>
      </c>
      <c r="AH72" s="6" t="s">
        <v>51</v>
      </c>
      <c r="AI72" s="6" t="s">
        <v>52</v>
      </c>
      <c r="AJ72" s="6" t="s">
        <v>8</v>
      </c>
      <c r="AX72" s="6" t="str">
        <f>HYPERLINK(".\links\PREV-RHOD-PEP\TI-437-PREV-RHOD-PEP.txt","Contig17812_34")</f>
        <v>Contig17812_34</v>
      </c>
      <c r="AY72" s="8">
        <v>7.9999999999999998E-16</v>
      </c>
      <c r="AZ72" s="6" t="s">
        <v>1062</v>
      </c>
      <c r="BA72" s="6">
        <v>78.599999999999994</v>
      </c>
      <c r="BB72" s="6">
        <v>268</v>
      </c>
      <c r="BC72" s="6">
        <v>321</v>
      </c>
      <c r="BD72" s="6">
        <v>67</v>
      </c>
      <c r="BE72" s="6">
        <v>84</v>
      </c>
      <c r="BF72" s="6">
        <v>17</v>
      </c>
      <c r="BG72" s="6">
        <v>0</v>
      </c>
      <c r="BH72" s="6">
        <v>19</v>
      </c>
      <c r="BI72" s="6">
        <v>38</v>
      </c>
      <c r="BJ72" s="6">
        <v>2</v>
      </c>
      <c r="BK72" s="6" t="s">
        <v>8</v>
      </c>
      <c r="CB72" s="6" t="s">
        <v>8</v>
      </c>
      <c r="CE72" s="6" t="s">
        <v>8</v>
      </c>
      <c r="CH72" s="6" t="s">
        <v>8</v>
      </c>
      <c r="CJ72" s="6" t="s">
        <v>8</v>
      </c>
      <c r="CL72" s="6" t="s">
        <v>8</v>
      </c>
      <c r="CN72" s="6" t="s">
        <v>8</v>
      </c>
      <c r="DB72" s="6" t="s">
        <v>8</v>
      </c>
    </row>
    <row r="73" spans="1:119" s="6" customFormat="1">
      <c r="A73" s="6" t="str">
        <f>HYPERLINK(".\links\pep\TI-435-pep.txt","TI-435")</f>
        <v>TI-435</v>
      </c>
      <c r="B73" s="6">
        <v>435</v>
      </c>
      <c r="C73" s="6" t="s">
        <v>24</v>
      </c>
      <c r="D73" s="6">
        <v>102</v>
      </c>
      <c r="E73" s="6">
        <v>0</v>
      </c>
      <c r="F73" s="6" t="str">
        <f>HYPERLINK(".\links\cds\TI-435-cds.txt","TI-435")</f>
        <v>TI-435</v>
      </c>
      <c r="G73" s="6">
        <v>303</v>
      </c>
      <c r="I73" s="6" t="s">
        <v>8</v>
      </c>
      <c r="J73" s="6" t="s">
        <v>8</v>
      </c>
      <c r="K73" s="6">
        <v>0</v>
      </c>
      <c r="L73" s="6">
        <v>2</v>
      </c>
      <c r="M73" s="6">
        <f t="shared" si="1"/>
        <v>2</v>
      </c>
      <c r="N73" s="6" t="s">
        <v>1170</v>
      </c>
      <c r="O73" s="6" t="s">
        <v>1171</v>
      </c>
      <c r="S73" s="6" t="str">
        <f>HYPERLINK(".\links\NR-LIGHT\TI-435-NR-LIGHT.txt","synaptic vesicle glycoprotein 2B-like isoform 1")</f>
        <v>synaptic vesicle glycoprotein 2B-like isoform 1</v>
      </c>
      <c r="T73" s="6" t="str">
        <f>HYPERLINK("http://www.ncbi.nlm.nih.gov/sutils/blink.cgi?pid=66499643","7.7")</f>
        <v>7.7</v>
      </c>
      <c r="U73" s="6" t="str">
        <f>HYPERLINK("http://www.ncbi.nlm.nih.gov/protein/66499643","gi|66499643")</f>
        <v>gi|66499643</v>
      </c>
      <c r="V73" s="6">
        <v>31.6</v>
      </c>
      <c r="W73" s="6">
        <v>93</v>
      </c>
      <c r="X73" s="6">
        <v>550</v>
      </c>
      <c r="Y73" s="6">
        <v>26</v>
      </c>
      <c r="Z73" s="6">
        <v>17</v>
      </c>
      <c r="AA73" s="6">
        <v>71</v>
      </c>
      <c r="AB73" s="6">
        <v>5</v>
      </c>
      <c r="AC73" s="6">
        <v>256</v>
      </c>
      <c r="AD73" s="6">
        <v>4</v>
      </c>
      <c r="AE73" s="6">
        <v>1</v>
      </c>
      <c r="AG73" s="6" t="s">
        <v>13</v>
      </c>
      <c r="AH73" s="6" t="s">
        <v>51</v>
      </c>
      <c r="AI73" s="6" t="s">
        <v>83</v>
      </c>
      <c r="AJ73" s="6" t="s">
        <v>8</v>
      </c>
      <c r="AX73" s="6" t="s">
        <v>8</v>
      </c>
      <c r="BK73" s="6" t="s">
        <v>8</v>
      </c>
      <c r="CB73" s="6" t="s">
        <v>8</v>
      </c>
      <c r="CE73" s="6" t="s">
        <v>8</v>
      </c>
      <c r="CH73" s="6" t="s">
        <v>8</v>
      </c>
      <c r="CJ73" s="6" t="s">
        <v>8</v>
      </c>
      <c r="CL73" s="6" t="s">
        <v>8</v>
      </c>
      <c r="CN73" s="6" t="s">
        <v>8</v>
      </c>
      <c r="DB73" s="6" t="s">
        <v>8</v>
      </c>
    </row>
    <row r="74" spans="1:119" s="6" customFormat="1">
      <c r="A74" s="6" t="str">
        <f>HYPERLINK(".\links\pep\TI-433-pep.txt","TI-433")</f>
        <v>TI-433</v>
      </c>
      <c r="B74" s="6">
        <v>433</v>
      </c>
      <c r="C74" s="6" t="s">
        <v>28</v>
      </c>
      <c r="D74" s="6">
        <v>125</v>
      </c>
      <c r="E74" s="7">
        <v>4</v>
      </c>
      <c r="F74" s="6" t="str">
        <f>HYPERLINK(".\links\cds\TI-433-cds.txt","TI-433")</f>
        <v>TI-433</v>
      </c>
      <c r="G74" s="6">
        <v>378</v>
      </c>
      <c r="I74" s="6" t="s">
        <v>8</v>
      </c>
      <c r="J74" s="6" t="s">
        <v>6</v>
      </c>
      <c r="K74" s="6">
        <v>0</v>
      </c>
      <c r="L74" s="6">
        <v>2</v>
      </c>
      <c r="M74" s="6">
        <f t="shared" si="1"/>
        <v>2</v>
      </c>
      <c r="N74" s="6" t="s">
        <v>1170</v>
      </c>
      <c r="O74" s="6" t="s">
        <v>1171</v>
      </c>
      <c r="S74" s="6" t="str">
        <f>HYPERLINK(".\links\NR-LIGHT\TI-433-NR-LIGHT.txt","AGAP001637-PA")</f>
        <v>AGAP001637-PA</v>
      </c>
      <c r="T74" s="6" t="str">
        <f>HYPERLINK("http://www.ncbi.nlm.nih.gov/sutils/blink.cgi?pid=333470126","4E-006")</f>
        <v>4E-006</v>
      </c>
      <c r="U74" s="6" t="str">
        <f>HYPERLINK("http://www.ncbi.nlm.nih.gov/protein/333470126","gi|333470126")</f>
        <v>gi|333470126</v>
      </c>
      <c r="V74" s="6">
        <v>52.4</v>
      </c>
      <c r="W74" s="6">
        <v>65</v>
      </c>
      <c r="X74" s="6">
        <v>205</v>
      </c>
      <c r="Y74" s="6">
        <v>39</v>
      </c>
      <c r="Z74" s="6">
        <v>32</v>
      </c>
      <c r="AA74" s="6">
        <v>41</v>
      </c>
      <c r="AB74" s="6">
        <v>7</v>
      </c>
      <c r="AC74" s="6">
        <v>28</v>
      </c>
      <c r="AD74" s="6">
        <v>63</v>
      </c>
      <c r="AE74" s="6">
        <v>1</v>
      </c>
      <c r="AG74" s="6" t="s">
        <v>13</v>
      </c>
      <c r="AH74" s="6" t="s">
        <v>51</v>
      </c>
      <c r="AI74" s="6" t="s">
        <v>275</v>
      </c>
      <c r="AJ74" s="6" t="s">
        <v>8</v>
      </c>
      <c r="AX74" s="6" t="s">
        <v>8</v>
      </c>
      <c r="BK74" s="6" t="s">
        <v>8</v>
      </c>
      <c r="CB74" s="6" t="s">
        <v>8</v>
      </c>
      <c r="CE74" s="6" t="s">
        <v>8</v>
      </c>
      <c r="CH74" s="6" t="s">
        <v>8</v>
      </c>
      <c r="CJ74" s="6" t="s">
        <v>8</v>
      </c>
      <c r="CL74" s="6" t="s">
        <v>8</v>
      </c>
      <c r="CN74" s="6" t="s">
        <v>8</v>
      </c>
      <c r="DB74" s="6" t="s">
        <v>8</v>
      </c>
    </row>
    <row r="75" spans="1:119" s="6" customFormat="1">
      <c r="A75" s="6" t="str">
        <f>HYPERLINK(".\links\pep\TI-424-pep.txt","TI-424")</f>
        <v>TI-424</v>
      </c>
      <c r="B75" s="6">
        <v>424</v>
      </c>
      <c r="C75" s="6" t="s">
        <v>7</v>
      </c>
      <c r="D75" s="6">
        <v>105</v>
      </c>
      <c r="E75" s="6">
        <v>0</v>
      </c>
      <c r="F75" s="6" t="str">
        <f>HYPERLINK(".\links\cds\TI-424-cds.txt","TI-424")</f>
        <v>TI-424</v>
      </c>
      <c r="G75" s="6">
        <v>318</v>
      </c>
      <c r="I75" s="6" t="s">
        <v>29</v>
      </c>
      <c r="J75" s="6" t="s">
        <v>6</v>
      </c>
      <c r="K75" s="6">
        <v>1</v>
      </c>
      <c r="L75" s="6">
        <v>4</v>
      </c>
      <c r="M75" s="6">
        <f t="shared" si="1"/>
        <v>3</v>
      </c>
      <c r="N75" s="6" t="s">
        <v>1170</v>
      </c>
      <c r="O75" s="6" t="s">
        <v>1171</v>
      </c>
      <c r="S75" s="6" t="str">
        <f>HYPERLINK(".\links\NR-LIGHT\TI-424-NR-LIGHT.txt","unnamed protein product")</f>
        <v>unnamed protein product</v>
      </c>
      <c r="T75" s="6" t="str">
        <f>HYPERLINK("http://www.ncbi.nlm.nih.gov/sutils/blink.cgi?pid=10177771","0.21")</f>
        <v>0.21</v>
      </c>
      <c r="U75" s="6" t="str">
        <f>HYPERLINK("http://www.ncbi.nlm.nih.gov/protein/10177771","gi|10177771")</f>
        <v>gi|10177771</v>
      </c>
      <c r="V75" s="6">
        <v>36.6</v>
      </c>
      <c r="W75" s="6">
        <v>45</v>
      </c>
      <c r="X75" s="6">
        <v>326</v>
      </c>
      <c r="Y75" s="6">
        <v>34</v>
      </c>
      <c r="Z75" s="6">
        <v>14</v>
      </c>
      <c r="AA75" s="6">
        <v>33</v>
      </c>
      <c r="AB75" s="6">
        <v>4</v>
      </c>
      <c r="AC75" s="6">
        <v>128</v>
      </c>
      <c r="AD75" s="6">
        <v>56</v>
      </c>
      <c r="AE75" s="6">
        <v>1</v>
      </c>
      <c r="AG75" s="6" t="s">
        <v>13</v>
      </c>
      <c r="AH75" s="6" t="s">
        <v>51</v>
      </c>
      <c r="AI75" s="6" t="s">
        <v>291</v>
      </c>
      <c r="AJ75" s="6" t="s">
        <v>8</v>
      </c>
      <c r="AX75" s="6" t="str">
        <f>HYPERLINK(".\links\PREV-RHOD-PEP\TI-424-PREV-RHOD-PEP.txt","Contig17970_431")</f>
        <v>Contig17970_431</v>
      </c>
      <c r="AY75" s="8">
        <v>2.9999999999999998E-13</v>
      </c>
      <c r="AZ75" s="6" t="s">
        <v>1137</v>
      </c>
      <c r="BA75" s="6">
        <v>70.099999999999994</v>
      </c>
      <c r="BB75" s="6">
        <v>80</v>
      </c>
      <c r="BC75" s="6">
        <v>102</v>
      </c>
      <c r="BD75" s="6">
        <v>42</v>
      </c>
      <c r="BE75" s="6">
        <v>79</v>
      </c>
      <c r="BF75" s="6">
        <v>47</v>
      </c>
      <c r="BG75" s="6">
        <v>1</v>
      </c>
      <c r="BH75" s="6">
        <v>19</v>
      </c>
      <c r="BI75" s="6">
        <v>19</v>
      </c>
      <c r="BJ75" s="6">
        <v>1</v>
      </c>
      <c r="BK75" s="6" t="s">
        <v>8</v>
      </c>
      <c r="CB75" s="6" t="s">
        <v>8</v>
      </c>
      <c r="CE75" s="6" t="s">
        <v>8</v>
      </c>
      <c r="CH75" s="6" t="s">
        <v>8</v>
      </c>
      <c r="CJ75" s="6" t="s">
        <v>8</v>
      </c>
      <c r="CL75" s="6" t="s">
        <v>8</v>
      </c>
      <c r="CN75" s="6" t="s">
        <v>8</v>
      </c>
      <c r="DB75" s="6" t="s">
        <v>8</v>
      </c>
    </row>
    <row r="76" spans="1:119" s="6" customFormat="1">
      <c r="A76" t="str">
        <f>HYPERLINK(".\links\pep\TI-422-pep.txt","TI-422")</f>
        <v>TI-422</v>
      </c>
      <c r="B76">
        <v>422</v>
      </c>
      <c r="C76" t="s">
        <v>10</v>
      </c>
      <c r="D76">
        <v>241</v>
      </c>
      <c r="E76">
        <v>0</v>
      </c>
      <c r="F76" t="str">
        <f>HYPERLINK(".\links\cds\TI-422-cds.txt","TI-422")</f>
        <v>TI-422</v>
      </c>
      <c r="G76">
        <v>726</v>
      </c>
      <c r="H76"/>
      <c r="I76" t="s">
        <v>8</v>
      </c>
      <c r="J76" t="s">
        <v>6</v>
      </c>
      <c r="K76">
        <v>0</v>
      </c>
      <c r="L76">
        <v>1</v>
      </c>
      <c r="M76">
        <f t="shared" si="1"/>
        <v>1</v>
      </c>
      <c r="N76" t="s">
        <v>1195</v>
      </c>
      <c r="O76" t="s">
        <v>1196</v>
      </c>
      <c r="P76" t="str">
        <f>HYPERLINK(".\links\NR-LIGHT\TI-422-NR-LIGHT.txt","NR-LIGHT")</f>
        <v>NR-LIGHT</v>
      </c>
      <c r="Q76">
        <v>0</v>
      </c>
      <c r="R76">
        <v>13.4</v>
      </c>
      <c r="S76" t="str">
        <f>HYPERLINK(".\links\NR-LIGHT\TI-422-NR-LIGHT.txt","nonstructural protein precursor")</f>
        <v>nonstructural protein precursor</v>
      </c>
      <c r="T76" t="str">
        <f>HYPERLINK("http://www.ncbi.nlm.nih.gov/sutils/blink.cgi?pid=20451029","1E-122")</f>
        <v>1E-122</v>
      </c>
      <c r="U76" t="str">
        <f>HYPERLINK("http://www.ncbi.nlm.nih.gov/protein/20451029","gi|20451029")</f>
        <v>gi|20451029</v>
      </c>
      <c r="V76">
        <v>438</v>
      </c>
      <c r="W76">
        <v>240</v>
      </c>
      <c r="X76">
        <v>1795</v>
      </c>
      <c r="Y76">
        <v>90</v>
      </c>
      <c r="Z76">
        <v>13</v>
      </c>
      <c r="AA76">
        <v>23</v>
      </c>
      <c r="AB76">
        <v>0</v>
      </c>
      <c r="AC76">
        <v>408</v>
      </c>
      <c r="AD76">
        <v>1</v>
      </c>
      <c r="AE76">
        <v>1</v>
      </c>
      <c r="AF76"/>
      <c r="AG76" t="s">
        <v>13</v>
      </c>
      <c r="AH76" t="s">
        <v>51</v>
      </c>
      <c r="AI76" t="s">
        <v>269</v>
      </c>
      <c r="AJ76" t="s">
        <v>8</v>
      </c>
      <c r="AK76"/>
      <c r="AL76"/>
      <c r="AM76"/>
      <c r="AN76"/>
      <c r="AO76"/>
      <c r="AP76"/>
      <c r="AQ76"/>
      <c r="AR76"/>
      <c r="AS76"/>
      <c r="AT76"/>
      <c r="AU76"/>
      <c r="AV76"/>
      <c r="AW76"/>
      <c r="AX76" t="s">
        <v>8</v>
      </c>
      <c r="AY76"/>
      <c r="AZ76"/>
      <c r="BA76"/>
      <c r="BB76"/>
      <c r="BC76"/>
      <c r="BD76"/>
      <c r="BE76"/>
      <c r="BF76"/>
      <c r="BG76"/>
      <c r="BH76"/>
      <c r="BI76"/>
      <c r="BJ76"/>
      <c r="BK76" t="s">
        <v>8</v>
      </c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 t="s">
        <v>8</v>
      </c>
      <c r="CC76"/>
      <c r="CD76"/>
      <c r="CE76" t="s">
        <v>8</v>
      </c>
      <c r="CF76"/>
      <c r="CG76"/>
      <c r="CH76" t="s">
        <v>8</v>
      </c>
      <c r="CI76"/>
      <c r="CJ76" t="s">
        <v>8</v>
      </c>
      <c r="CK76"/>
      <c r="CL76" t="s">
        <v>8</v>
      </c>
      <c r="CM76"/>
      <c r="CN76" t="s">
        <v>8</v>
      </c>
      <c r="CO76"/>
      <c r="CP76"/>
      <c r="CQ76"/>
      <c r="CR76"/>
      <c r="CS76"/>
      <c r="CT76"/>
      <c r="CU76"/>
      <c r="CV76"/>
      <c r="CW76"/>
      <c r="CX76"/>
      <c r="CY76"/>
      <c r="CZ76"/>
      <c r="DA76"/>
      <c r="DB76" t="s">
        <v>8</v>
      </c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1:119" s="6" customFormat="1">
      <c r="A77" s="6" t="str">
        <f>HYPERLINK(".\links\pep\TI-421-pep.txt","TI-421")</f>
        <v>TI-421</v>
      </c>
      <c r="B77" s="6">
        <v>421</v>
      </c>
      <c r="C77" s="6" t="s">
        <v>10</v>
      </c>
      <c r="D77" s="6">
        <v>11</v>
      </c>
      <c r="E77" s="6">
        <v>0</v>
      </c>
      <c r="F77" s="6" t="str">
        <f>HYPERLINK(".\links\cds\TI-421-cds.txt","TI-421")</f>
        <v>TI-421</v>
      </c>
      <c r="G77" s="6">
        <v>36</v>
      </c>
      <c r="I77" s="6" t="s">
        <v>8</v>
      </c>
      <c r="J77" s="6" t="s">
        <v>6</v>
      </c>
      <c r="K77" s="6">
        <v>0</v>
      </c>
      <c r="L77" s="6">
        <v>1</v>
      </c>
      <c r="M77" s="6">
        <f t="shared" si="1"/>
        <v>1</v>
      </c>
      <c r="N77" s="6" t="s">
        <v>1170</v>
      </c>
      <c r="O77" s="6" t="s">
        <v>1171</v>
      </c>
      <c r="S77" s="6" t="s">
        <v>8</v>
      </c>
      <c r="AJ77" s="6" t="s">
        <v>8</v>
      </c>
      <c r="AX77" s="6" t="s">
        <v>8</v>
      </c>
      <c r="BK77" s="6" t="s">
        <v>8</v>
      </c>
      <c r="CB77" s="6" t="s">
        <v>8</v>
      </c>
      <c r="CE77" s="6" t="s">
        <v>8</v>
      </c>
      <c r="CH77" s="6" t="s">
        <v>8</v>
      </c>
      <c r="CJ77" s="6" t="s">
        <v>8</v>
      </c>
      <c r="CL77" s="6" t="s">
        <v>8</v>
      </c>
      <c r="CN77" s="6" t="s">
        <v>8</v>
      </c>
      <c r="DB77" s="6" t="s">
        <v>8</v>
      </c>
    </row>
    <row r="78" spans="1:119" s="6" customFormat="1">
      <c r="A78" s="6" t="str">
        <f>HYPERLINK(".\links\pep\TI-419-pep.txt","TI-419")</f>
        <v>TI-419</v>
      </c>
      <c r="B78" s="6">
        <v>419</v>
      </c>
      <c r="C78" s="6" t="s">
        <v>16</v>
      </c>
      <c r="D78" s="6">
        <v>40</v>
      </c>
      <c r="E78" s="6">
        <v>0</v>
      </c>
      <c r="F78" s="6" t="str">
        <f>HYPERLINK(".\links\cds\TI-419-cds.txt","TI-419")</f>
        <v>TI-419</v>
      </c>
      <c r="G78" s="6">
        <v>123</v>
      </c>
      <c r="I78" s="6" t="s">
        <v>8</v>
      </c>
      <c r="J78" s="6" t="s">
        <v>6</v>
      </c>
      <c r="K78" s="6">
        <v>0</v>
      </c>
      <c r="L78" s="6">
        <v>1</v>
      </c>
      <c r="M78" s="6">
        <f t="shared" si="1"/>
        <v>1</v>
      </c>
      <c r="N78" s="6" t="s">
        <v>1170</v>
      </c>
      <c r="O78" s="6" t="s">
        <v>1171</v>
      </c>
      <c r="S78" s="6" t="str">
        <f>HYPERLINK(".\links\NR-LIGHT\TI-419-NR-LIGHT.txt","hypothetical protein TcasGA2_TC013920")</f>
        <v>hypothetical protein TcasGA2_TC013920</v>
      </c>
      <c r="T78" s="6" t="str">
        <f>HYPERLINK("http://www.ncbi.nlm.nih.gov/sutils/blink.cgi?pid=270007359","1.3")</f>
        <v>1.3</v>
      </c>
      <c r="U78" s="6" t="str">
        <f>HYPERLINK("http://www.ncbi.nlm.nih.gov/protein/270007359","gi|270007359")</f>
        <v>gi|270007359</v>
      </c>
      <c r="V78" s="6">
        <v>33.9</v>
      </c>
      <c r="W78" s="6">
        <v>19</v>
      </c>
      <c r="X78" s="6">
        <v>229</v>
      </c>
      <c r="Y78" s="6">
        <v>65</v>
      </c>
      <c r="Z78" s="6">
        <v>9</v>
      </c>
      <c r="AA78" s="6">
        <v>7</v>
      </c>
      <c r="AB78" s="6">
        <v>0</v>
      </c>
      <c r="AC78" s="6">
        <v>142</v>
      </c>
      <c r="AD78" s="6">
        <v>1</v>
      </c>
      <c r="AE78" s="6">
        <v>1</v>
      </c>
      <c r="AG78" s="6" t="s">
        <v>13</v>
      </c>
      <c r="AH78" s="6" t="s">
        <v>51</v>
      </c>
      <c r="AI78" s="6" t="s">
        <v>266</v>
      </c>
      <c r="AJ78" s="6" t="s">
        <v>8</v>
      </c>
      <c r="AX78" s="6" t="str">
        <f>HYPERLINK(".\links\PREV-RHOD-PEP\TI-419-PREV-RHOD-PEP.txt","Contig17830_129")</f>
        <v>Contig17830_129</v>
      </c>
      <c r="AY78" s="6">
        <v>4.0000000000000001E-3</v>
      </c>
      <c r="AZ78" s="6" t="s">
        <v>1135</v>
      </c>
      <c r="BA78" s="6">
        <v>36.200000000000003</v>
      </c>
      <c r="BB78" s="6">
        <v>19</v>
      </c>
      <c r="BC78" s="6">
        <v>253</v>
      </c>
      <c r="BD78" s="6">
        <v>70</v>
      </c>
      <c r="BE78" s="6">
        <v>8</v>
      </c>
      <c r="BF78" s="6">
        <v>6</v>
      </c>
      <c r="BG78" s="6">
        <v>0</v>
      </c>
      <c r="BH78" s="6">
        <v>196</v>
      </c>
      <c r="BI78" s="6">
        <v>1</v>
      </c>
      <c r="BJ78" s="6">
        <v>1</v>
      </c>
      <c r="BK78" s="6" t="s">
        <v>8</v>
      </c>
      <c r="CB78" s="6" t="s">
        <v>8</v>
      </c>
      <c r="CE78" s="6" t="s">
        <v>8</v>
      </c>
      <c r="CH78" s="6" t="s">
        <v>8</v>
      </c>
      <c r="CJ78" s="6" t="s">
        <v>8</v>
      </c>
      <c r="CL78" s="6" t="s">
        <v>8</v>
      </c>
      <c r="CN78" s="6" t="s">
        <v>8</v>
      </c>
      <c r="DB78" s="6" t="s">
        <v>8</v>
      </c>
    </row>
    <row r="79" spans="1:119" s="6" customFormat="1">
      <c r="A79" t="str">
        <f>HYPERLINK(".\links\pep\TI-418-pep.txt","TI-418")</f>
        <v>TI-418</v>
      </c>
      <c r="B79">
        <v>418</v>
      </c>
      <c r="C79" t="s">
        <v>18</v>
      </c>
      <c r="D79">
        <v>206</v>
      </c>
      <c r="E79" s="2">
        <v>2.9126210000000001</v>
      </c>
      <c r="F79" t="str">
        <f>HYPERLINK(".\links\cds\TI-418-cds.txt","TI-418")</f>
        <v>TI-418</v>
      </c>
      <c r="G79">
        <v>617</v>
      </c>
      <c r="H79"/>
      <c r="I79" t="s">
        <v>8</v>
      </c>
      <c r="J79" t="s">
        <v>8</v>
      </c>
      <c r="K79">
        <v>0</v>
      </c>
      <c r="L79">
        <v>2</v>
      </c>
      <c r="M79">
        <f t="shared" si="1"/>
        <v>2</v>
      </c>
      <c r="N79" t="s">
        <v>1212</v>
      </c>
      <c r="O79" t="s">
        <v>1169</v>
      </c>
      <c r="P79" t="str">
        <f>HYPERLINK(".\links\NR-LIGHT\TI-418-NR-LIGHT.txt","NR-LIGHT")</f>
        <v>NR-LIGHT</v>
      </c>
      <c r="Q79">
        <v>0</v>
      </c>
      <c r="R79">
        <v>64</v>
      </c>
      <c r="S79" t="str">
        <f>HYPERLINK(".\links\NR-LIGHT\TI-418-NR-LIGHT.txt","60S acidic ribosomal protein P0")</f>
        <v>60S acidic ribosomal protein P0</v>
      </c>
      <c r="T79" t="str">
        <f>HYPERLINK("http://www.ncbi.nlm.nih.gov/sutils/blink.cgi?pid=263173401","1E-101")</f>
        <v>1E-101</v>
      </c>
      <c r="U79" t="str">
        <f>HYPERLINK("http://www.ncbi.nlm.nih.gov/protein/263173401","gi|263173401")</f>
        <v>gi|263173401</v>
      </c>
      <c r="V79">
        <v>371</v>
      </c>
      <c r="W79">
        <v>204</v>
      </c>
      <c r="X79">
        <v>320</v>
      </c>
      <c r="Y79">
        <v>88</v>
      </c>
      <c r="Z79">
        <v>64</v>
      </c>
      <c r="AA79">
        <v>24</v>
      </c>
      <c r="AB79">
        <v>0</v>
      </c>
      <c r="AC79">
        <v>15</v>
      </c>
      <c r="AD79">
        <v>1</v>
      </c>
      <c r="AE79">
        <v>1</v>
      </c>
      <c r="AF79"/>
      <c r="AG79" t="s">
        <v>13</v>
      </c>
      <c r="AH79" t="s">
        <v>51</v>
      </c>
      <c r="AI79" t="s">
        <v>280</v>
      </c>
      <c r="AJ79" t="str">
        <f>HYPERLINK(".\links\SWISSP\TI-418-SWISSP.txt","60S acidic ribosomal protein P0 OS=Ceratitis capitata GN=RpLP0 PE=3 SV=1")</f>
        <v>60S acidic ribosomal protein P0 OS=Ceratitis capitata GN=RpLP0 PE=3 SV=1</v>
      </c>
      <c r="AK79" t="str">
        <f>HYPERLINK("http://www.uniprot.org/uniprot/Q9U3U0","1E-089")</f>
        <v>1E-089</v>
      </c>
      <c r="AL79" t="s">
        <v>90</v>
      </c>
      <c r="AM79">
        <v>328</v>
      </c>
      <c r="AN79">
        <v>202</v>
      </c>
      <c r="AO79">
        <v>317</v>
      </c>
      <c r="AP79">
        <v>79</v>
      </c>
      <c r="AQ79">
        <v>64</v>
      </c>
      <c r="AR79">
        <v>42</v>
      </c>
      <c r="AS79">
        <v>0</v>
      </c>
      <c r="AT79">
        <v>16</v>
      </c>
      <c r="AU79">
        <v>2</v>
      </c>
      <c r="AV79">
        <v>1</v>
      </c>
      <c r="AW79" t="s">
        <v>91</v>
      </c>
      <c r="AX79" t="str">
        <f>HYPERLINK(".\links\PREV-RHOD-PEP\TI-418-PREV-RHOD-PEP.txt","Contig4545_2")</f>
        <v>Contig4545_2</v>
      </c>
      <c r="AY79" s="3">
        <v>9.9999999999999994E-107</v>
      </c>
      <c r="AZ79" t="s">
        <v>984</v>
      </c>
      <c r="BA79">
        <v>380</v>
      </c>
      <c r="BB79">
        <v>211</v>
      </c>
      <c r="BC79">
        <v>728</v>
      </c>
      <c r="BD79">
        <v>90</v>
      </c>
      <c r="BE79">
        <v>29</v>
      </c>
      <c r="BF79">
        <v>21</v>
      </c>
      <c r="BG79">
        <v>7</v>
      </c>
      <c r="BH79">
        <v>422</v>
      </c>
      <c r="BI79">
        <v>1</v>
      </c>
      <c r="BJ79">
        <v>1</v>
      </c>
      <c r="BK79" t="s">
        <v>328</v>
      </c>
      <c r="BL79">
        <f>HYPERLINK(".\links\GO\TI-418-GO.txt",2E-88)</f>
        <v>1.9999999999999999E-88</v>
      </c>
      <c r="BM79" t="s">
        <v>329</v>
      </c>
      <c r="BN79" t="s">
        <v>330</v>
      </c>
      <c r="BO79" t="s">
        <v>331</v>
      </c>
      <c r="BP79" t="s">
        <v>332</v>
      </c>
      <c r="BQ79" s="3">
        <v>1.9999999999999999E-88</v>
      </c>
      <c r="BR79" t="s">
        <v>333</v>
      </c>
      <c r="BS79" t="s">
        <v>323</v>
      </c>
      <c r="BT79" t="s">
        <v>334</v>
      </c>
      <c r="BU79" t="s">
        <v>335</v>
      </c>
      <c r="BV79" s="3">
        <v>1.9999999999999999E-88</v>
      </c>
      <c r="BW79" t="s">
        <v>336</v>
      </c>
      <c r="BX79" t="s">
        <v>330</v>
      </c>
      <c r="BY79" t="s">
        <v>331</v>
      </c>
      <c r="BZ79" t="s">
        <v>337</v>
      </c>
      <c r="CA79" s="3">
        <v>1.9999999999999999E-88</v>
      </c>
      <c r="CB79" t="s">
        <v>8</v>
      </c>
      <c r="CC79"/>
      <c r="CD79"/>
      <c r="CE79" t="s">
        <v>8</v>
      </c>
      <c r="CF79"/>
      <c r="CG79"/>
      <c r="CH79" t="s">
        <v>8</v>
      </c>
      <c r="CI79"/>
      <c r="CJ79" t="s">
        <v>8</v>
      </c>
      <c r="CK79"/>
      <c r="CL79" t="s">
        <v>8</v>
      </c>
      <c r="CM79"/>
      <c r="CN79" t="s">
        <v>8</v>
      </c>
      <c r="CO79"/>
      <c r="CP79"/>
      <c r="CQ79"/>
      <c r="CR79"/>
      <c r="CS79"/>
      <c r="CT79"/>
      <c r="CU79"/>
      <c r="CV79"/>
      <c r="CW79"/>
      <c r="CX79"/>
      <c r="CY79"/>
      <c r="CZ79"/>
      <c r="DA79"/>
      <c r="DB79" t="s">
        <v>8</v>
      </c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19" s="6" customFormat="1">
      <c r="A80" t="str">
        <f>HYPERLINK(".\links\pep\TI-417-pep.txt","TI-417")</f>
        <v>TI-417</v>
      </c>
      <c r="B80">
        <v>417</v>
      </c>
      <c r="C80" t="s">
        <v>7</v>
      </c>
      <c r="D80">
        <v>159</v>
      </c>
      <c r="E80">
        <v>0</v>
      </c>
      <c r="F80" t="str">
        <f>HYPERLINK(".\links\cds\TI-417-cds.txt","TI-417")</f>
        <v>TI-417</v>
      </c>
      <c r="G80">
        <v>480</v>
      </c>
      <c r="H80"/>
      <c r="I80" t="s">
        <v>29</v>
      </c>
      <c r="J80" t="s">
        <v>6</v>
      </c>
      <c r="K80">
        <v>0</v>
      </c>
      <c r="L80">
        <v>2</v>
      </c>
      <c r="M80">
        <f t="shared" si="1"/>
        <v>2</v>
      </c>
      <c r="N80" t="s">
        <v>1330</v>
      </c>
      <c r="O80" t="s">
        <v>1190</v>
      </c>
      <c r="P80" t="str">
        <f>HYPERLINK(".\links\GO\TI-417-GO.txt","GO")</f>
        <v>GO</v>
      </c>
      <c r="Q80" s="3">
        <v>9.9999999999999991E-22</v>
      </c>
      <c r="R80">
        <v>51</v>
      </c>
      <c r="S80" t="str">
        <f>HYPERLINK(".\links\NR-LIGHT\TI-417-NR-LIGHT.txt","AGAP002385-PA")</f>
        <v>AGAP002385-PA</v>
      </c>
      <c r="T80" t="str">
        <f>HYPERLINK("http://www.ncbi.nlm.nih.gov/sutils/blink.cgi?pid=58383485","5E-058")</f>
        <v>5E-058</v>
      </c>
      <c r="U80" t="str">
        <f>HYPERLINK("http://www.ncbi.nlm.nih.gov/protein/58383485","gi|58383485")</f>
        <v>gi|58383485</v>
      </c>
      <c r="V80">
        <v>224</v>
      </c>
      <c r="W80">
        <v>141</v>
      </c>
      <c r="X80">
        <v>154</v>
      </c>
      <c r="Y80">
        <v>70</v>
      </c>
      <c r="Z80">
        <v>92</v>
      </c>
      <c r="AA80">
        <v>42</v>
      </c>
      <c r="AB80">
        <v>0</v>
      </c>
      <c r="AC80">
        <v>12</v>
      </c>
      <c r="AD80">
        <v>17</v>
      </c>
      <c r="AE80">
        <v>1</v>
      </c>
      <c r="AF80"/>
      <c r="AG80" t="s">
        <v>13</v>
      </c>
      <c r="AH80" t="s">
        <v>51</v>
      </c>
      <c r="AI80" t="s">
        <v>275</v>
      </c>
      <c r="AJ80" t="str">
        <f>HYPERLINK(".\links\SWISSP\TI-417-SWISSP.txt","Trafficking protein particle complex subunit 6B OS=Homo sapiens GN=TRAPPC6B PE=1")</f>
        <v>Trafficking protein particle complex subunit 6B OS=Homo sapiens GN=TRAPPC6B PE=1</v>
      </c>
      <c r="AK80" t="str">
        <f>HYPERLINK("http://www.uniprot.org/uniprot/Q86SZ2","3E-042")</f>
        <v>3E-042</v>
      </c>
      <c r="AL80" t="s">
        <v>222</v>
      </c>
      <c r="AM80">
        <v>170</v>
      </c>
      <c r="AN80">
        <v>124</v>
      </c>
      <c r="AO80">
        <v>158</v>
      </c>
      <c r="AP80">
        <v>59</v>
      </c>
      <c r="AQ80">
        <v>79</v>
      </c>
      <c r="AR80">
        <v>51</v>
      </c>
      <c r="AS80">
        <v>0</v>
      </c>
      <c r="AT80">
        <v>33</v>
      </c>
      <c r="AU80">
        <v>34</v>
      </c>
      <c r="AV80">
        <v>1</v>
      </c>
      <c r="AW80" t="s">
        <v>68</v>
      </c>
      <c r="AX80" t="s">
        <v>8</v>
      </c>
      <c r="AY80"/>
      <c r="AZ80"/>
      <c r="BA80"/>
      <c r="BB80"/>
      <c r="BC80"/>
      <c r="BD80"/>
      <c r="BE80"/>
      <c r="BF80"/>
      <c r="BG80"/>
      <c r="BH80"/>
      <c r="BI80"/>
      <c r="BJ80"/>
      <c r="BK80" t="s">
        <v>885</v>
      </c>
      <c r="BL80">
        <f>HYPERLINK(".\links\GO\TI-417-GO.txt",1E-21)</f>
        <v>9.9999999999999991E-22</v>
      </c>
      <c r="BM80" t="s">
        <v>373</v>
      </c>
      <c r="BN80" t="s">
        <v>373</v>
      </c>
      <c r="BO80"/>
      <c r="BP80" t="s">
        <v>374</v>
      </c>
      <c r="BQ80" s="3">
        <v>9.9999999999999991E-22</v>
      </c>
      <c r="BR80" t="s">
        <v>886</v>
      </c>
      <c r="BS80" t="s">
        <v>477</v>
      </c>
      <c r="BT80" t="s">
        <v>477</v>
      </c>
      <c r="BU80" t="s">
        <v>887</v>
      </c>
      <c r="BV80" s="3">
        <v>9.9999999999999991E-22</v>
      </c>
      <c r="BW80" t="s">
        <v>769</v>
      </c>
      <c r="BX80" t="s">
        <v>373</v>
      </c>
      <c r="BY80"/>
      <c r="BZ80" t="s">
        <v>770</v>
      </c>
      <c r="CA80" s="3">
        <v>9.9999999999999991E-22</v>
      </c>
      <c r="CB80" t="s">
        <v>8</v>
      </c>
      <c r="CC80"/>
      <c r="CD80"/>
      <c r="CE80" t="s">
        <v>8</v>
      </c>
      <c r="CF80"/>
      <c r="CG80"/>
      <c r="CH80" t="s">
        <v>8</v>
      </c>
      <c r="CI80"/>
      <c r="CJ80" t="s">
        <v>8</v>
      </c>
      <c r="CK80"/>
      <c r="CL80" t="s">
        <v>8</v>
      </c>
      <c r="CM80"/>
      <c r="CN80" t="s">
        <v>8</v>
      </c>
      <c r="CO80"/>
      <c r="CP80"/>
      <c r="CQ80"/>
      <c r="CR80"/>
      <c r="CS80"/>
      <c r="CT80"/>
      <c r="CU80"/>
      <c r="CV80"/>
      <c r="CW80"/>
      <c r="CX80"/>
      <c r="CY80"/>
      <c r="CZ80"/>
      <c r="DA80"/>
      <c r="DB80" t="s">
        <v>8</v>
      </c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s="6" customFormat="1">
      <c r="A81" t="str">
        <f>HYPERLINK(".\links\pep\TI-41-pep.txt","TI-41")</f>
        <v>TI-41</v>
      </c>
      <c r="B81">
        <v>41</v>
      </c>
      <c r="C81" t="s">
        <v>7</v>
      </c>
      <c r="D81">
        <v>95</v>
      </c>
      <c r="E81">
        <v>0</v>
      </c>
      <c r="F81" t="str">
        <f>HYPERLINK(".\links\cds\TI-41-cds.txt","TI-41")</f>
        <v>TI-41</v>
      </c>
      <c r="G81">
        <v>288</v>
      </c>
      <c r="H81"/>
      <c r="I81" t="s">
        <v>29</v>
      </c>
      <c r="J81" t="s">
        <v>6</v>
      </c>
      <c r="K81">
        <v>1</v>
      </c>
      <c r="L81">
        <v>2</v>
      </c>
      <c r="M81">
        <f t="shared" si="1"/>
        <v>1</v>
      </c>
      <c r="N81" t="s">
        <v>1256</v>
      </c>
      <c r="O81" t="s">
        <v>1172</v>
      </c>
      <c r="P81" t="str">
        <f>HYPERLINK(".\links\GO\TI-41-GO.txt","GO")</f>
        <v>GO</v>
      </c>
      <c r="Q81" s="3">
        <v>9.0000000000000003E-27</v>
      </c>
      <c r="R81">
        <v>92.9</v>
      </c>
      <c r="S81" t="str">
        <f>HYPERLINK(".\links\NR-LIGHT\TI-41-NR-LIGHT.txt","AGAP009491-PA")</f>
        <v>AGAP009491-PA</v>
      </c>
      <c r="T81" t="str">
        <f>HYPERLINK("http://www.ncbi.nlm.nih.gov/sutils/blink.cgi?pid=118780527","4E-026")</f>
        <v>4E-026</v>
      </c>
      <c r="U81" t="str">
        <f>HYPERLINK("http://www.ncbi.nlm.nih.gov/protein/118780527","gi|118780527")</f>
        <v>gi|118780527</v>
      </c>
      <c r="V81">
        <v>119</v>
      </c>
      <c r="W81">
        <v>90</v>
      </c>
      <c r="X81">
        <v>99</v>
      </c>
      <c r="Y81">
        <v>56</v>
      </c>
      <c r="Z81">
        <v>92</v>
      </c>
      <c r="AA81">
        <v>40</v>
      </c>
      <c r="AB81">
        <v>0</v>
      </c>
      <c r="AC81">
        <v>9</v>
      </c>
      <c r="AD81">
        <v>3</v>
      </c>
      <c r="AE81">
        <v>1</v>
      </c>
      <c r="AF81"/>
      <c r="AG81" t="s">
        <v>13</v>
      </c>
      <c r="AH81" t="s">
        <v>51</v>
      </c>
      <c r="AI81" t="s">
        <v>275</v>
      </c>
      <c r="AJ81" t="str">
        <f>HYPERLINK(".\links\SWISSP\TI-41-SWISSP.txt","ATP synthase subunit g, mitochondrial OS=Pongo abelii GN=ATP5L PE=3 SV=1")</f>
        <v>ATP synthase subunit g, mitochondrial OS=Pongo abelii GN=ATP5L PE=3 SV=1</v>
      </c>
      <c r="AK81" t="str">
        <f>HYPERLINK("http://www.uniprot.org/uniprot/Q5RFH0","3E-023")</f>
        <v>3E-023</v>
      </c>
      <c r="AL81" t="s">
        <v>120</v>
      </c>
      <c r="AM81">
        <v>107</v>
      </c>
      <c r="AN81">
        <v>101</v>
      </c>
      <c r="AO81">
        <v>103</v>
      </c>
      <c r="AP81">
        <v>53</v>
      </c>
      <c r="AQ81">
        <v>99</v>
      </c>
      <c r="AR81">
        <v>47</v>
      </c>
      <c r="AS81">
        <v>11</v>
      </c>
      <c r="AT81">
        <v>2</v>
      </c>
      <c r="AU81">
        <v>3</v>
      </c>
      <c r="AV81">
        <v>1</v>
      </c>
      <c r="AW81" t="s">
        <v>121</v>
      </c>
      <c r="AX81" t="str">
        <f>HYPERLINK(".\links\PREV-RHOD-PEP\TI-41-PREV-RHOD-PEP.txt","Contig17955_250")</f>
        <v>Contig17955_250</v>
      </c>
      <c r="AY81" s="3">
        <v>9.0000000000000002E-41</v>
      </c>
      <c r="AZ81" t="s">
        <v>1036</v>
      </c>
      <c r="BA81">
        <v>161</v>
      </c>
      <c r="BB81">
        <v>92</v>
      </c>
      <c r="BC81">
        <v>94</v>
      </c>
      <c r="BD81">
        <v>81</v>
      </c>
      <c r="BE81">
        <v>99</v>
      </c>
      <c r="BF81">
        <v>17</v>
      </c>
      <c r="BG81">
        <v>0</v>
      </c>
      <c r="BH81">
        <v>2</v>
      </c>
      <c r="BI81">
        <v>3</v>
      </c>
      <c r="BJ81">
        <v>1</v>
      </c>
      <c r="BK81" t="s">
        <v>547</v>
      </c>
      <c r="BL81">
        <f>HYPERLINK(".\links\GO\TI-41-GO.txt",9E-27)</f>
        <v>9.0000000000000003E-27</v>
      </c>
      <c r="BM81" t="s">
        <v>548</v>
      </c>
      <c r="BN81" t="s">
        <v>345</v>
      </c>
      <c r="BO81" t="s">
        <v>349</v>
      </c>
      <c r="BP81" t="s">
        <v>549</v>
      </c>
      <c r="BQ81" s="3">
        <v>9.0000000000000003E-27</v>
      </c>
      <c r="BR81" t="s">
        <v>550</v>
      </c>
      <c r="BS81" t="s">
        <v>323</v>
      </c>
      <c r="BT81" t="s">
        <v>551</v>
      </c>
      <c r="BU81" t="s">
        <v>552</v>
      </c>
      <c r="BV81" s="3">
        <v>9.0000000000000003E-27</v>
      </c>
      <c r="BW81" t="s">
        <v>553</v>
      </c>
      <c r="BX81" t="s">
        <v>345</v>
      </c>
      <c r="BY81" t="s">
        <v>349</v>
      </c>
      <c r="BZ81" t="s">
        <v>554</v>
      </c>
      <c r="CA81" s="3">
        <v>9.0000000000000003E-27</v>
      </c>
      <c r="CB81" t="s">
        <v>8</v>
      </c>
      <c r="CC81"/>
      <c r="CD81"/>
      <c r="CE81" t="s">
        <v>8</v>
      </c>
      <c r="CF81"/>
      <c r="CG81"/>
      <c r="CH81" t="s">
        <v>8</v>
      </c>
      <c r="CI81"/>
      <c r="CJ81" t="s">
        <v>8</v>
      </c>
      <c r="CK81"/>
      <c r="CL81" t="s">
        <v>8</v>
      </c>
      <c r="CM81"/>
      <c r="CN81" t="s">
        <v>8</v>
      </c>
      <c r="CO81"/>
      <c r="CP81"/>
      <c r="CQ81"/>
      <c r="CR81"/>
      <c r="CS81"/>
      <c r="CT81"/>
      <c r="CU81"/>
      <c r="CV81"/>
      <c r="CW81"/>
      <c r="CX81"/>
      <c r="CY81"/>
      <c r="CZ81"/>
      <c r="DA81"/>
      <c r="DB81" t="s">
        <v>8</v>
      </c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s="6" customFormat="1">
      <c r="A82" t="str">
        <f>HYPERLINK(".\links\pep\TI-404-pep.txt","TI-404")</f>
        <v>TI-404</v>
      </c>
      <c r="B82">
        <v>404</v>
      </c>
      <c r="C82" t="s">
        <v>7</v>
      </c>
      <c r="D82">
        <v>212</v>
      </c>
      <c r="E82" s="2">
        <v>2.3584900000000002</v>
      </c>
      <c r="F82" t="str">
        <f>HYPERLINK(".\links\cds\TI-404-cds.txt","TI-404")</f>
        <v>TI-404</v>
      </c>
      <c r="G82">
        <v>635</v>
      </c>
      <c r="H82"/>
      <c r="I82" t="s">
        <v>29</v>
      </c>
      <c r="J82" t="s">
        <v>8</v>
      </c>
      <c r="K82">
        <v>0</v>
      </c>
      <c r="L82">
        <v>1</v>
      </c>
      <c r="M82">
        <f t="shared" si="1"/>
        <v>1</v>
      </c>
      <c r="N82" t="s">
        <v>1174</v>
      </c>
      <c r="O82" t="s">
        <v>1175</v>
      </c>
      <c r="P82" t="str">
        <f>HYPERLINK(".\links\NR-LIGHT\TI-404-NR-LIGHT.txt","NR-LIGHT")</f>
        <v>NR-LIGHT</v>
      </c>
      <c r="Q82">
        <v>0</v>
      </c>
      <c r="R82">
        <v>54.3</v>
      </c>
      <c r="S82" t="str">
        <f>HYPERLINK(".\links\NR-LIGHT\TI-404-NR-LIGHT.txt","cathepsin D")</f>
        <v>cathepsin D</v>
      </c>
      <c r="T82" t="str">
        <f>HYPERLINK("http://www.ncbi.nlm.nih.gov/sutils/blink.cgi?pid=301030231","1E-114")</f>
        <v>1E-114</v>
      </c>
      <c r="U82" t="str">
        <f>HYPERLINK("http://www.ncbi.nlm.nih.gov/protein/301030231","gi|301030231")</f>
        <v>gi|301030231</v>
      </c>
      <c r="V82">
        <v>414</v>
      </c>
      <c r="W82">
        <v>211</v>
      </c>
      <c r="X82">
        <v>390</v>
      </c>
      <c r="Y82">
        <v>93</v>
      </c>
      <c r="Z82">
        <v>54</v>
      </c>
      <c r="AA82">
        <v>13</v>
      </c>
      <c r="AB82">
        <v>0</v>
      </c>
      <c r="AC82">
        <v>1</v>
      </c>
      <c r="AD82">
        <v>1</v>
      </c>
      <c r="AE82">
        <v>1</v>
      </c>
      <c r="AF82"/>
      <c r="AG82" t="s">
        <v>13</v>
      </c>
      <c r="AH82" t="s">
        <v>51</v>
      </c>
      <c r="AI82" t="s">
        <v>273</v>
      </c>
      <c r="AJ82" t="str">
        <f>HYPERLINK(".\links\SWISSP\TI-404-SWISSP.txt","Probable vacuolar protease A OS=Trichophyton verrucosum (strain HKI 0517)")</f>
        <v>Probable vacuolar protease A OS=Trichophyton verrucosum (strain HKI 0517)</v>
      </c>
      <c r="AK82" t="str">
        <f>HYPERLINK("http://www.uniprot.org/uniprot/D4DEN7","2E-042")</f>
        <v>2E-042</v>
      </c>
      <c r="AL82" t="s">
        <v>94</v>
      </c>
      <c r="AM82">
        <v>172</v>
      </c>
      <c r="AN82">
        <v>156</v>
      </c>
      <c r="AO82">
        <v>400</v>
      </c>
      <c r="AP82">
        <v>50</v>
      </c>
      <c r="AQ82">
        <v>39</v>
      </c>
      <c r="AR82">
        <v>77</v>
      </c>
      <c r="AS82">
        <v>1</v>
      </c>
      <c r="AT82">
        <v>72</v>
      </c>
      <c r="AU82">
        <v>57</v>
      </c>
      <c r="AV82">
        <v>1</v>
      </c>
      <c r="AW82" t="s">
        <v>95</v>
      </c>
      <c r="AX82" t="str">
        <f>HYPERLINK(".\links\PREV-RHOD-PEP\TI-404-PREV-RHOD-PEP.txt","Contig17955_3")</f>
        <v>Contig17955_3</v>
      </c>
      <c r="AY82" s="3">
        <v>2.9999999999999999E-78</v>
      </c>
      <c r="AZ82" t="s">
        <v>1010</v>
      </c>
      <c r="BA82">
        <v>287</v>
      </c>
      <c r="BB82">
        <v>189</v>
      </c>
      <c r="BC82">
        <v>371</v>
      </c>
      <c r="BD82">
        <v>70</v>
      </c>
      <c r="BE82">
        <v>51</v>
      </c>
      <c r="BF82">
        <v>56</v>
      </c>
      <c r="BG82">
        <v>0</v>
      </c>
      <c r="BH82">
        <v>5</v>
      </c>
      <c r="BI82">
        <v>23</v>
      </c>
      <c r="BJ82">
        <v>1</v>
      </c>
      <c r="BK82" t="s">
        <v>454</v>
      </c>
      <c r="BL82">
        <f>HYPERLINK(".\links\GO\TI-404-GO.txt",2E-42)</f>
        <v>2.0000000000000001E-42</v>
      </c>
      <c r="BM82" t="s">
        <v>455</v>
      </c>
      <c r="BN82" t="s">
        <v>345</v>
      </c>
      <c r="BO82" t="s">
        <v>349</v>
      </c>
      <c r="BP82" t="s">
        <v>456</v>
      </c>
      <c r="BQ82" s="3">
        <v>4.0000000000000002E-42</v>
      </c>
      <c r="BR82" t="s">
        <v>457</v>
      </c>
      <c r="BS82" t="s">
        <v>323</v>
      </c>
      <c r="BT82" t="s">
        <v>334</v>
      </c>
      <c r="BU82" t="s">
        <v>458</v>
      </c>
      <c r="BV82" s="3">
        <v>4.0000000000000002E-42</v>
      </c>
      <c r="BW82" t="s">
        <v>459</v>
      </c>
      <c r="BX82" t="s">
        <v>345</v>
      </c>
      <c r="BY82" t="s">
        <v>349</v>
      </c>
      <c r="BZ82" t="s">
        <v>460</v>
      </c>
      <c r="CA82" s="3">
        <v>4.0000000000000002E-42</v>
      </c>
      <c r="CB82" t="s">
        <v>8</v>
      </c>
      <c r="CC82"/>
      <c r="CD82"/>
      <c r="CE82" t="s">
        <v>8</v>
      </c>
      <c r="CF82"/>
      <c r="CG82"/>
      <c r="CH82" t="s">
        <v>8</v>
      </c>
      <c r="CI82"/>
      <c r="CJ82" t="s">
        <v>8</v>
      </c>
      <c r="CK82"/>
      <c r="CL82" t="s">
        <v>8</v>
      </c>
      <c r="CM82"/>
      <c r="CN82" t="s">
        <v>8</v>
      </c>
      <c r="CO82"/>
      <c r="CP82"/>
      <c r="CQ82"/>
      <c r="CR82"/>
      <c r="CS82"/>
      <c r="CT82"/>
      <c r="CU82"/>
      <c r="CV82"/>
      <c r="CW82"/>
      <c r="CX82"/>
      <c r="CY82"/>
      <c r="CZ82"/>
      <c r="DA82"/>
      <c r="DB82" t="s">
        <v>8</v>
      </c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s="6" customFormat="1">
      <c r="A83" s="6" t="str">
        <f>HYPERLINK(".\links\pep\TI-403-pep.txt","TI-403")</f>
        <v>TI-403</v>
      </c>
      <c r="B83" s="6">
        <v>403</v>
      </c>
      <c r="C83" s="6" t="s">
        <v>7</v>
      </c>
      <c r="D83" s="6">
        <v>81</v>
      </c>
      <c r="E83" s="6">
        <v>0</v>
      </c>
      <c r="F83" s="6" t="str">
        <f>HYPERLINK(".\links\cds\TI-403-cds.txt","TI-403")</f>
        <v>TI-403</v>
      </c>
      <c r="G83" s="6">
        <v>246</v>
      </c>
      <c r="I83" s="6" t="s">
        <v>29</v>
      </c>
      <c r="J83" s="6" t="s">
        <v>6</v>
      </c>
      <c r="K83" s="6">
        <v>0</v>
      </c>
      <c r="L83" s="6">
        <v>2</v>
      </c>
      <c r="M83" s="6">
        <f t="shared" si="1"/>
        <v>2</v>
      </c>
      <c r="N83" s="6" t="s">
        <v>1170</v>
      </c>
      <c r="O83" s="6" t="s">
        <v>1171</v>
      </c>
      <c r="S83" s="6" t="s">
        <v>8</v>
      </c>
      <c r="AJ83" s="6" t="s">
        <v>8</v>
      </c>
      <c r="AX83" s="6" t="s">
        <v>8</v>
      </c>
      <c r="BK83" s="6" t="s">
        <v>8</v>
      </c>
      <c r="CB83" s="6" t="s">
        <v>8</v>
      </c>
      <c r="CE83" s="6" t="s">
        <v>8</v>
      </c>
      <c r="CH83" s="6" t="s">
        <v>8</v>
      </c>
      <c r="CJ83" s="6" t="s">
        <v>8</v>
      </c>
      <c r="CL83" s="6" t="s">
        <v>8</v>
      </c>
      <c r="CN83" s="6" t="s">
        <v>8</v>
      </c>
      <c r="DB83" s="6" t="s">
        <v>8</v>
      </c>
    </row>
    <row r="84" spans="1:119" s="6" customFormat="1">
      <c r="A84" s="6" t="str">
        <f>HYPERLINK(".\links\pep\TI-398-pep.txt","TI-398")</f>
        <v>TI-398</v>
      </c>
      <c r="B84" s="6">
        <v>398</v>
      </c>
      <c r="C84" s="6" t="s">
        <v>16</v>
      </c>
      <c r="D84" s="6">
        <v>25</v>
      </c>
      <c r="E84" s="6">
        <v>0</v>
      </c>
      <c r="F84" s="6" t="str">
        <f>HYPERLINK(".\links\cds\TI-398-cds.txt","TI-398")</f>
        <v>TI-398</v>
      </c>
      <c r="G84" s="6">
        <v>78</v>
      </c>
      <c r="I84" s="6" t="s">
        <v>8</v>
      </c>
      <c r="J84" s="6" t="s">
        <v>6</v>
      </c>
      <c r="K84" s="6">
        <v>1</v>
      </c>
      <c r="L84" s="6">
        <v>1</v>
      </c>
      <c r="M84" s="6">
        <f t="shared" si="1"/>
        <v>0</v>
      </c>
      <c r="N84" s="6" t="s">
        <v>1170</v>
      </c>
      <c r="O84" s="6" t="s">
        <v>1171</v>
      </c>
      <c r="S84" s="6" t="s">
        <v>8</v>
      </c>
      <c r="AJ84" s="6" t="s">
        <v>8</v>
      </c>
      <c r="AX84" s="6" t="s">
        <v>8</v>
      </c>
      <c r="BK84" s="6" t="s">
        <v>8</v>
      </c>
      <c r="CB84" s="6" t="s">
        <v>8</v>
      </c>
      <c r="CE84" s="6" t="s">
        <v>8</v>
      </c>
      <c r="CH84" s="6" t="s">
        <v>8</v>
      </c>
      <c r="CJ84" s="6" t="s">
        <v>8</v>
      </c>
      <c r="CL84" s="6" t="s">
        <v>8</v>
      </c>
      <c r="CN84" s="6" t="s">
        <v>8</v>
      </c>
      <c r="DB84" s="6" t="s">
        <v>8</v>
      </c>
    </row>
    <row r="85" spans="1:119" s="6" customFormat="1">
      <c r="A85" s="6" t="str">
        <f>HYPERLINK(".\links\pep\TI-391-pep.txt","TI-391")</f>
        <v>TI-391</v>
      </c>
      <c r="B85" s="6">
        <v>391</v>
      </c>
      <c r="C85" s="6" t="s">
        <v>16</v>
      </c>
      <c r="D85" s="6">
        <v>115</v>
      </c>
      <c r="E85" s="6">
        <v>0</v>
      </c>
      <c r="F85" s="6" t="str">
        <f>HYPERLINK(".\links\cds\TI-391-cds.txt","TI-391")</f>
        <v>TI-391</v>
      </c>
      <c r="G85" s="6">
        <v>343</v>
      </c>
      <c r="I85" s="6" t="s">
        <v>8</v>
      </c>
      <c r="J85" s="6" t="s">
        <v>8</v>
      </c>
      <c r="K85" s="6">
        <v>0</v>
      </c>
      <c r="L85" s="6">
        <v>1</v>
      </c>
      <c r="M85" s="6">
        <f t="shared" si="1"/>
        <v>1</v>
      </c>
      <c r="N85" s="6" t="s">
        <v>1170</v>
      </c>
      <c r="O85" s="6" t="s">
        <v>1171</v>
      </c>
      <c r="S85" s="6" t="str">
        <f>HYPERLINK(".\links\NR-LIGHT\TI-391-NR-LIGHT.txt","hypothetical protein")</f>
        <v>hypothetical protein</v>
      </c>
      <c r="T85" s="6" t="str">
        <f>HYPERLINK("http://www.ncbi.nlm.nih.gov/sutils/blink.cgi?pid=256081126","3.1")</f>
        <v>3.1</v>
      </c>
      <c r="U85" s="6" t="str">
        <f>HYPERLINK("http://www.ncbi.nlm.nih.gov/protein/256081126","gi|256081126")</f>
        <v>gi|256081126</v>
      </c>
      <c r="V85" s="6">
        <v>32.700000000000003</v>
      </c>
      <c r="W85" s="6">
        <v>49</v>
      </c>
      <c r="X85" s="6">
        <v>750</v>
      </c>
      <c r="Y85" s="6">
        <v>32</v>
      </c>
      <c r="Z85" s="6">
        <v>7</v>
      </c>
      <c r="AA85" s="6">
        <v>35</v>
      </c>
      <c r="AB85" s="6">
        <v>2</v>
      </c>
      <c r="AC85" s="6">
        <v>234</v>
      </c>
      <c r="AD85" s="6">
        <v>56</v>
      </c>
      <c r="AE85" s="6">
        <v>1</v>
      </c>
      <c r="AG85" s="6" t="s">
        <v>13</v>
      </c>
      <c r="AH85" s="6" t="s">
        <v>51</v>
      </c>
      <c r="AI85" s="6" t="s">
        <v>265</v>
      </c>
      <c r="AJ85" s="6" t="s">
        <v>8</v>
      </c>
      <c r="AX85" s="6" t="str">
        <f>HYPERLINK(".\links\PREV-RHOD-PEP\TI-391-PREV-RHOD-PEP.txt","Contig17543_20")</f>
        <v>Contig17543_20</v>
      </c>
      <c r="AY85" s="8">
        <v>6.0000000000000005E-44</v>
      </c>
      <c r="AZ85" s="6" t="s">
        <v>1126</v>
      </c>
      <c r="BA85" s="6">
        <v>171</v>
      </c>
      <c r="BB85" s="6">
        <v>103</v>
      </c>
      <c r="BC85" s="6">
        <v>293</v>
      </c>
      <c r="BD85" s="6">
        <v>81</v>
      </c>
      <c r="BE85" s="6">
        <v>35</v>
      </c>
      <c r="BF85" s="6">
        <v>20</v>
      </c>
      <c r="BG85" s="6">
        <v>4</v>
      </c>
      <c r="BH85" s="6">
        <v>4</v>
      </c>
      <c r="BI85" s="6">
        <v>8</v>
      </c>
      <c r="BJ85" s="6">
        <v>1</v>
      </c>
      <c r="BK85" s="6" t="s">
        <v>8</v>
      </c>
      <c r="CB85" s="6" t="s">
        <v>8</v>
      </c>
      <c r="CE85" s="6" t="s">
        <v>8</v>
      </c>
      <c r="CH85" s="6" t="s">
        <v>8</v>
      </c>
      <c r="CJ85" s="6" t="s">
        <v>8</v>
      </c>
      <c r="CL85" s="6" t="s">
        <v>8</v>
      </c>
      <c r="CN85" s="6" t="s">
        <v>8</v>
      </c>
      <c r="DB85" s="6" t="s">
        <v>8</v>
      </c>
    </row>
    <row r="86" spans="1:119" s="6" customFormat="1">
      <c r="A86" t="str">
        <f>HYPERLINK(".\links\pep\TI-39-pep.txt","TI-39")</f>
        <v>TI-39</v>
      </c>
      <c r="B86">
        <v>39</v>
      </c>
      <c r="C86" t="s">
        <v>7</v>
      </c>
      <c r="D86">
        <v>230</v>
      </c>
      <c r="E86">
        <v>0</v>
      </c>
      <c r="F86" t="str">
        <f>HYPERLINK(".\links\cds\TI-39-cds.txt","TI-39")</f>
        <v>TI-39</v>
      </c>
      <c r="G86">
        <v>693</v>
      </c>
      <c r="H86"/>
      <c r="I86" t="s">
        <v>29</v>
      </c>
      <c r="J86" t="s">
        <v>6</v>
      </c>
      <c r="K86">
        <v>0</v>
      </c>
      <c r="L86">
        <v>1</v>
      </c>
      <c r="M86">
        <f t="shared" si="1"/>
        <v>1</v>
      </c>
      <c r="N86" t="s">
        <v>1255</v>
      </c>
      <c r="O86" t="s">
        <v>1178</v>
      </c>
      <c r="P86" t="str">
        <f>HYPERLINK(".\links\GO\TI-39-GO.txt","GO")</f>
        <v>GO</v>
      </c>
      <c r="Q86" s="3">
        <v>2.0000000000000001E-32</v>
      </c>
      <c r="R86">
        <v>54</v>
      </c>
      <c r="S86" t="str">
        <f>HYPERLINK(".\links\NR-LIGHT\TI-39-NR-LIGHT.txt","CG1542")</f>
        <v>CG1542</v>
      </c>
      <c r="T86" t="str">
        <f>HYPERLINK("http://www.ncbi.nlm.nih.gov/sutils/blink.cgi?pid=21357767","2E-031")</f>
        <v>2E-031</v>
      </c>
      <c r="U86" t="str">
        <f>HYPERLINK("http://www.ncbi.nlm.nih.gov/protein/21357767","gi|21357767")</f>
        <v>gi|21357767</v>
      </c>
      <c r="V86">
        <v>137</v>
      </c>
      <c r="W86">
        <v>164</v>
      </c>
      <c r="X86">
        <v>307</v>
      </c>
      <c r="Y86">
        <v>43</v>
      </c>
      <c r="Z86">
        <v>54</v>
      </c>
      <c r="AA86">
        <v>94</v>
      </c>
      <c r="AB86">
        <v>18</v>
      </c>
      <c r="AC86">
        <v>23</v>
      </c>
      <c r="AD86">
        <v>54</v>
      </c>
      <c r="AE86">
        <v>1</v>
      </c>
      <c r="AF86"/>
      <c r="AG86" t="s">
        <v>13</v>
      </c>
      <c r="AH86" t="s">
        <v>51</v>
      </c>
      <c r="AI86" t="s">
        <v>277</v>
      </c>
      <c r="AJ86" t="str">
        <f>HYPERLINK(".\links\SWISSP\TI-39-SWISSP.txt","Probable rRNA-processing protein EBP2 homolog OS=Drosophila melanogaster")</f>
        <v>Probable rRNA-processing protein EBP2 homolog OS=Drosophila melanogaster</v>
      </c>
      <c r="AK86" t="str">
        <f>HYPERLINK("http://www.uniprot.org/uniprot/Q9V9Z9","6E-032")</f>
        <v>6E-032</v>
      </c>
      <c r="AL86" t="s">
        <v>118</v>
      </c>
      <c r="AM86">
        <v>137</v>
      </c>
      <c r="AN86">
        <v>164</v>
      </c>
      <c r="AO86">
        <v>307</v>
      </c>
      <c r="AP86">
        <v>43</v>
      </c>
      <c r="AQ86">
        <v>54</v>
      </c>
      <c r="AR86">
        <v>94</v>
      </c>
      <c r="AS86">
        <v>18</v>
      </c>
      <c r="AT86">
        <v>23</v>
      </c>
      <c r="AU86">
        <v>54</v>
      </c>
      <c r="AV86">
        <v>1</v>
      </c>
      <c r="AW86" t="s">
        <v>52</v>
      </c>
      <c r="AX86" t="str">
        <f>HYPERLINK(".\links\PREV-RHOD-PEP\TI-39-PREV-RHOD-PEP.txt","Contig17709_31")</f>
        <v>Contig17709_31</v>
      </c>
      <c r="AY86" s="3">
        <v>3.9999999999999998E-80</v>
      </c>
      <c r="AZ86" t="s">
        <v>1034</v>
      </c>
      <c r="BA86">
        <v>293</v>
      </c>
      <c r="BB86">
        <v>201</v>
      </c>
      <c r="BC86">
        <v>294</v>
      </c>
      <c r="BD86">
        <v>73</v>
      </c>
      <c r="BE86">
        <v>69</v>
      </c>
      <c r="BF86">
        <v>54</v>
      </c>
      <c r="BG86">
        <v>0</v>
      </c>
      <c r="BH86">
        <v>1</v>
      </c>
      <c r="BI86">
        <v>1</v>
      </c>
      <c r="BJ86">
        <v>1</v>
      </c>
      <c r="BK86" t="s">
        <v>541</v>
      </c>
      <c r="BL86">
        <f>HYPERLINK(".\links\GO\TI-39-GO.txt",2E-32)</f>
        <v>2.0000000000000001E-32</v>
      </c>
      <c r="BM86" t="s">
        <v>373</v>
      </c>
      <c r="BN86" t="s">
        <v>373</v>
      </c>
      <c r="BO86"/>
      <c r="BP86" t="s">
        <v>374</v>
      </c>
      <c r="BQ86" s="3">
        <v>2.0000000000000001E-32</v>
      </c>
      <c r="BR86" t="s">
        <v>513</v>
      </c>
      <c r="BS86" t="s">
        <v>477</v>
      </c>
      <c r="BT86" t="s">
        <v>477</v>
      </c>
      <c r="BU86" t="s">
        <v>514</v>
      </c>
      <c r="BV86" s="3">
        <v>2.0000000000000001E-32</v>
      </c>
      <c r="BW86" t="s">
        <v>515</v>
      </c>
      <c r="BX86" t="s">
        <v>373</v>
      </c>
      <c r="BY86"/>
      <c r="BZ86" t="s">
        <v>516</v>
      </c>
      <c r="CA86" s="3">
        <v>2.0000000000000001E-32</v>
      </c>
      <c r="CB86" t="s">
        <v>8</v>
      </c>
      <c r="CC86"/>
      <c r="CD86"/>
      <c r="CE86" t="s">
        <v>8</v>
      </c>
      <c r="CF86"/>
      <c r="CG86"/>
      <c r="CH86" t="s">
        <v>8</v>
      </c>
      <c r="CI86"/>
      <c r="CJ86" t="s">
        <v>8</v>
      </c>
      <c r="CK86"/>
      <c r="CL86" t="s">
        <v>8</v>
      </c>
      <c r="CM86"/>
      <c r="CN86" t="s">
        <v>8</v>
      </c>
      <c r="CO86"/>
      <c r="CP86"/>
      <c r="CQ86"/>
      <c r="CR86"/>
      <c r="CS86"/>
      <c r="CT86"/>
      <c r="CU86"/>
      <c r="CV86"/>
      <c r="CW86"/>
      <c r="CX86"/>
      <c r="CY86"/>
      <c r="CZ86"/>
      <c r="DA86"/>
      <c r="DB86" t="s">
        <v>8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</row>
    <row r="87" spans="1:119" s="6" customFormat="1">
      <c r="A87" t="str">
        <f>HYPERLINK(".\links\pep\TI-386-pep.txt","TI-386")</f>
        <v>TI-386</v>
      </c>
      <c r="B87">
        <v>386</v>
      </c>
      <c r="C87" t="s">
        <v>15</v>
      </c>
      <c r="D87">
        <v>157</v>
      </c>
      <c r="E87">
        <v>0</v>
      </c>
      <c r="F87" t="str">
        <f>HYPERLINK(".\links\cds\TI-386-cds.txt","TI-386")</f>
        <v>TI-386</v>
      </c>
      <c r="G87">
        <v>469</v>
      </c>
      <c r="H87"/>
      <c r="I87" t="s">
        <v>8</v>
      </c>
      <c r="J87" t="s">
        <v>6</v>
      </c>
      <c r="K87">
        <v>0</v>
      </c>
      <c r="L87">
        <v>1</v>
      </c>
      <c r="M87">
        <f t="shared" si="1"/>
        <v>1</v>
      </c>
      <c r="N87" t="s">
        <v>1207</v>
      </c>
      <c r="O87" t="s">
        <v>1196</v>
      </c>
      <c r="P87" t="str">
        <f>HYPERLINK(".\links\NR-LIGHT\TI-386-NR-LIGHT.txt","NR-LIGHT")</f>
        <v>NR-LIGHT</v>
      </c>
      <c r="Q87" s="3">
        <v>6.9999999999999997E-32</v>
      </c>
      <c r="R87">
        <v>4.4000000000000004</v>
      </c>
      <c r="S87" t="str">
        <f>HYPERLINK(".\links\NR-LIGHT\TI-386-NR-LIGHT.txt","polyprotein")</f>
        <v>polyprotein</v>
      </c>
      <c r="T87" t="str">
        <f>HYPERLINK("http://www.ncbi.nlm.nih.gov/sutils/blink.cgi?pid=296005647","7E-032")</f>
        <v>7E-032</v>
      </c>
      <c r="U87" t="str">
        <f>HYPERLINK("http://www.ncbi.nlm.nih.gov/protein/296005647","gi|296005647")</f>
        <v>gi|296005647</v>
      </c>
      <c r="V87">
        <v>138</v>
      </c>
      <c r="W87">
        <v>128</v>
      </c>
      <c r="X87">
        <v>2964</v>
      </c>
      <c r="Y87">
        <v>47</v>
      </c>
      <c r="Z87">
        <v>4</v>
      </c>
      <c r="AA87">
        <v>69</v>
      </c>
      <c r="AB87">
        <v>3</v>
      </c>
      <c r="AC87">
        <v>2397</v>
      </c>
      <c r="AD87">
        <v>26</v>
      </c>
      <c r="AE87">
        <v>1</v>
      </c>
      <c r="AF87"/>
      <c r="AG87" t="s">
        <v>13</v>
      </c>
      <c r="AH87" t="s">
        <v>51</v>
      </c>
      <c r="AI87" t="s">
        <v>286</v>
      </c>
      <c r="AJ87" t="str">
        <f>HYPERLINK(".\links\SWISSP\TI-386-SWISSP.txt","Genome polyprotein OS=Rice tungro spherical virus (strain A) PE=1 SV=1")</f>
        <v>Genome polyprotein OS=Rice tungro spherical virus (strain A) PE=1 SV=1</v>
      </c>
      <c r="AK87" t="str">
        <f>HYPERLINK("http://www.uniprot.org/uniprot/Q83034","2E-004")</f>
        <v>2E-004</v>
      </c>
      <c r="AL87" t="s">
        <v>166</v>
      </c>
      <c r="AM87">
        <v>45.1</v>
      </c>
      <c r="AN87">
        <v>144</v>
      </c>
      <c r="AO87">
        <v>3473</v>
      </c>
      <c r="AP87">
        <v>31</v>
      </c>
      <c r="AQ87">
        <v>4</v>
      </c>
      <c r="AR87">
        <v>100</v>
      </c>
      <c r="AS87">
        <v>18</v>
      </c>
      <c r="AT87">
        <v>2830</v>
      </c>
      <c r="AU87">
        <v>27</v>
      </c>
      <c r="AV87">
        <v>1</v>
      </c>
      <c r="AW87" t="s">
        <v>167</v>
      </c>
      <c r="AX87" t="s">
        <v>8</v>
      </c>
      <c r="AY87"/>
      <c r="AZ87"/>
      <c r="BA87"/>
      <c r="BB87"/>
      <c r="BC87"/>
      <c r="BD87"/>
      <c r="BE87"/>
      <c r="BF87"/>
      <c r="BG87"/>
      <c r="BH87"/>
      <c r="BI87"/>
      <c r="BJ87"/>
      <c r="BK87" t="s">
        <v>8</v>
      </c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 t="s">
        <v>8</v>
      </c>
      <c r="CC87"/>
      <c r="CD87"/>
      <c r="CE87" t="s">
        <v>8</v>
      </c>
      <c r="CF87"/>
      <c r="CG87"/>
      <c r="CH87" t="s">
        <v>8</v>
      </c>
      <c r="CI87"/>
      <c r="CJ87" t="s">
        <v>8</v>
      </c>
      <c r="CK87"/>
      <c r="CL87" t="s">
        <v>8</v>
      </c>
      <c r="CM87"/>
      <c r="CN87" t="s">
        <v>8</v>
      </c>
      <c r="CO87"/>
      <c r="CP87"/>
      <c r="CQ87"/>
      <c r="CR87"/>
      <c r="CS87"/>
      <c r="CT87"/>
      <c r="CU87"/>
      <c r="CV87"/>
      <c r="CW87"/>
      <c r="CX87"/>
      <c r="CY87"/>
      <c r="CZ87"/>
      <c r="DA87"/>
      <c r="DB87" t="s">
        <v>8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</row>
    <row r="88" spans="1:119" s="6" customFormat="1">
      <c r="A88" t="str">
        <f>HYPERLINK(".\links\pep\TI-384-pep.txt","TI-384")</f>
        <v>TI-384</v>
      </c>
      <c r="B88">
        <v>384</v>
      </c>
      <c r="C88" t="s">
        <v>7</v>
      </c>
      <c r="D88">
        <v>208</v>
      </c>
      <c r="E88">
        <v>0</v>
      </c>
      <c r="F88" t="str">
        <f>HYPERLINK(".\links\cds\TI-384-cds.txt","TI-384")</f>
        <v>TI-384</v>
      </c>
      <c r="G88">
        <v>625</v>
      </c>
      <c r="H88"/>
      <c r="I88" t="s">
        <v>29</v>
      </c>
      <c r="J88" t="s">
        <v>6</v>
      </c>
      <c r="K88">
        <v>0</v>
      </c>
      <c r="L88">
        <v>1</v>
      </c>
      <c r="M88">
        <f t="shared" si="1"/>
        <v>1</v>
      </c>
      <c r="N88" t="s">
        <v>1326</v>
      </c>
      <c r="O88" t="s">
        <v>1188</v>
      </c>
      <c r="P88" t="str">
        <f>HYPERLINK(".\links\NR-LIGHT\TI-384-NR-LIGHT.txt","NR-LIGHT")</f>
        <v>NR-LIGHT</v>
      </c>
      <c r="Q88" s="3">
        <v>9.9999999999999999E-96</v>
      </c>
      <c r="R88">
        <v>41.1</v>
      </c>
      <c r="S88" t="str">
        <f>HYPERLINK(".\links\NR-LIGHT\TI-384-NR-LIGHT.txt","catalase")</f>
        <v>catalase</v>
      </c>
      <c r="T88" t="str">
        <f>HYPERLINK("http://www.ncbi.nlm.nih.gov/sutils/blink.cgi?pid=157135803","1E-095")</f>
        <v>1E-095</v>
      </c>
      <c r="U88" t="str">
        <f>HYPERLINK("http://www.ncbi.nlm.nih.gov/protein/157135803","gi|157135803")</f>
        <v>gi|157135803</v>
      </c>
      <c r="V88">
        <v>351</v>
      </c>
      <c r="W88">
        <v>207</v>
      </c>
      <c r="X88">
        <v>505</v>
      </c>
      <c r="Y88">
        <v>78</v>
      </c>
      <c r="Z88">
        <v>41</v>
      </c>
      <c r="AA88">
        <v>45</v>
      </c>
      <c r="AB88">
        <v>0</v>
      </c>
      <c r="AC88">
        <v>1</v>
      </c>
      <c r="AD88">
        <v>1</v>
      </c>
      <c r="AE88">
        <v>1</v>
      </c>
      <c r="AF88"/>
      <c r="AG88" t="s">
        <v>13</v>
      </c>
      <c r="AH88" t="s">
        <v>51</v>
      </c>
      <c r="AI88" t="s">
        <v>76</v>
      </c>
      <c r="AJ88" t="str">
        <f>HYPERLINK(".\links\SWISSP\TI-384-SWISSP.txt","Catalase OS=Drosophila melanogaster GN=Cat PE=1 SV=2")</f>
        <v>Catalase OS=Drosophila melanogaster GN=Cat PE=1 SV=2</v>
      </c>
      <c r="AK88" t="str">
        <f>HYPERLINK("http://www.uniprot.org/uniprot/P17336","2E-091")</f>
        <v>2E-091</v>
      </c>
      <c r="AL88" t="s">
        <v>210</v>
      </c>
      <c r="AM88">
        <v>335</v>
      </c>
      <c r="AN88">
        <v>206</v>
      </c>
      <c r="AO88">
        <v>506</v>
      </c>
      <c r="AP88">
        <v>74</v>
      </c>
      <c r="AQ88">
        <v>41</v>
      </c>
      <c r="AR88">
        <v>53</v>
      </c>
      <c r="AS88">
        <v>1</v>
      </c>
      <c r="AT88">
        <v>4</v>
      </c>
      <c r="AU88">
        <v>3</v>
      </c>
      <c r="AV88">
        <v>1</v>
      </c>
      <c r="AW88" t="s">
        <v>52</v>
      </c>
      <c r="AX88" t="str">
        <f>HYPERLINK(".\links\PREV-RHOD-PEP\TI-384-PREV-RHOD-PEP.txt","Contig17575_33")</f>
        <v>Contig17575_33</v>
      </c>
      <c r="AY88" s="3">
        <v>1.0000000000000001E-115</v>
      </c>
      <c r="AZ88" t="s">
        <v>1124</v>
      </c>
      <c r="BA88">
        <v>408</v>
      </c>
      <c r="BB88">
        <v>212</v>
      </c>
      <c r="BC88">
        <v>439</v>
      </c>
      <c r="BD88">
        <v>92</v>
      </c>
      <c r="BE88">
        <v>49</v>
      </c>
      <c r="BF88">
        <v>15</v>
      </c>
      <c r="BG88">
        <v>5</v>
      </c>
      <c r="BH88">
        <v>1</v>
      </c>
      <c r="BI88">
        <v>1</v>
      </c>
      <c r="BJ88">
        <v>1</v>
      </c>
      <c r="BK88" t="s">
        <v>850</v>
      </c>
      <c r="BL88">
        <f>HYPERLINK(".\links\GO\TI-384-GO.txt",5E-92)</f>
        <v>5.0000000000000001E-92</v>
      </c>
      <c r="BM88" t="s">
        <v>851</v>
      </c>
      <c r="BN88" t="s">
        <v>345</v>
      </c>
      <c r="BO88" t="s">
        <v>368</v>
      </c>
      <c r="BP88" t="s">
        <v>852</v>
      </c>
      <c r="BQ88" s="3">
        <v>5.0000000000000001E-92</v>
      </c>
      <c r="BR88" t="s">
        <v>853</v>
      </c>
      <c r="BS88" t="s">
        <v>323</v>
      </c>
      <c r="BT88" t="s">
        <v>334</v>
      </c>
      <c r="BU88" t="s">
        <v>854</v>
      </c>
      <c r="BV88" s="3">
        <v>5.0000000000000001E-92</v>
      </c>
      <c r="BW88" t="s">
        <v>855</v>
      </c>
      <c r="BX88" t="s">
        <v>345</v>
      </c>
      <c r="BY88" t="s">
        <v>368</v>
      </c>
      <c r="BZ88" t="s">
        <v>856</v>
      </c>
      <c r="CA88" s="3">
        <v>5.0000000000000001E-92</v>
      </c>
      <c r="CB88" t="s">
        <v>8</v>
      </c>
      <c r="CC88"/>
      <c r="CD88"/>
      <c r="CE88" t="s">
        <v>8</v>
      </c>
      <c r="CF88"/>
      <c r="CG88"/>
      <c r="CH88" t="s">
        <v>8</v>
      </c>
      <c r="CI88"/>
      <c r="CJ88" t="s">
        <v>8</v>
      </c>
      <c r="CK88"/>
      <c r="CL88" t="s">
        <v>8</v>
      </c>
      <c r="CM88"/>
      <c r="CN88" t="s">
        <v>8</v>
      </c>
      <c r="CO88"/>
      <c r="CP88"/>
      <c r="CQ88"/>
      <c r="CR88"/>
      <c r="CS88"/>
      <c r="CT88"/>
      <c r="CU88"/>
      <c r="CV88"/>
      <c r="CW88"/>
      <c r="CX88"/>
      <c r="CY88"/>
      <c r="CZ88"/>
      <c r="DA88"/>
      <c r="DB88" t="s">
        <v>8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</row>
    <row r="89" spans="1:119" s="6" customFormat="1">
      <c r="A89" s="6" t="str">
        <f>HYPERLINK(".\links\pep\TI-376-pep.txt","TI-376")</f>
        <v>TI-376</v>
      </c>
      <c r="B89" s="6">
        <v>376</v>
      </c>
      <c r="C89" s="6" t="s">
        <v>16</v>
      </c>
      <c r="D89" s="6">
        <v>23</v>
      </c>
      <c r="E89" s="6">
        <v>0</v>
      </c>
      <c r="F89" s="6" t="str">
        <f>HYPERLINK(".\links\cds\TI-376-cds.txt","TI-376")</f>
        <v>TI-376</v>
      </c>
      <c r="G89" s="6">
        <v>72</v>
      </c>
      <c r="I89" s="6" t="s">
        <v>8</v>
      </c>
      <c r="J89" s="6" t="s">
        <v>6</v>
      </c>
      <c r="K89" s="6">
        <v>0</v>
      </c>
      <c r="L89" s="6">
        <v>1</v>
      </c>
      <c r="M89" s="6">
        <f t="shared" si="1"/>
        <v>1</v>
      </c>
      <c r="N89" s="6" t="s">
        <v>1170</v>
      </c>
      <c r="O89" s="6" t="s">
        <v>1171</v>
      </c>
      <c r="S89" s="6" t="s">
        <v>8</v>
      </c>
      <c r="AJ89" s="6" t="s">
        <v>8</v>
      </c>
      <c r="AX89" s="6" t="s">
        <v>8</v>
      </c>
      <c r="BK89" s="6" t="s">
        <v>8</v>
      </c>
      <c r="CB89" s="6" t="s">
        <v>8</v>
      </c>
      <c r="CE89" s="6" t="s">
        <v>8</v>
      </c>
      <c r="CH89" s="6" t="s">
        <v>8</v>
      </c>
      <c r="CJ89" s="6" t="s">
        <v>8</v>
      </c>
      <c r="CL89" s="6" t="s">
        <v>8</v>
      </c>
      <c r="CN89" s="6" t="s">
        <v>8</v>
      </c>
      <c r="DB89" s="6" t="s">
        <v>8</v>
      </c>
    </row>
    <row r="90" spans="1:119" s="6" customFormat="1">
      <c r="A90" s="6" t="str">
        <f>HYPERLINK(".\links\pep\TI-372-pep.txt","TI-372")</f>
        <v>TI-372</v>
      </c>
      <c r="B90" s="6">
        <v>372</v>
      </c>
      <c r="C90" s="6" t="s">
        <v>7</v>
      </c>
      <c r="D90" s="6">
        <v>50</v>
      </c>
      <c r="E90" s="6">
        <v>0</v>
      </c>
      <c r="F90" s="6" t="str">
        <f>HYPERLINK(".\links\cds\TI-372-cds.txt","TI-372")</f>
        <v>TI-372</v>
      </c>
      <c r="G90" s="6">
        <v>153</v>
      </c>
      <c r="I90" s="6" t="s">
        <v>29</v>
      </c>
      <c r="J90" s="6" t="s">
        <v>6</v>
      </c>
      <c r="K90" s="6">
        <v>0</v>
      </c>
      <c r="L90" s="6">
        <v>1</v>
      </c>
      <c r="M90" s="6">
        <f t="shared" si="1"/>
        <v>1</v>
      </c>
      <c r="N90" s="6" t="s">
        <v>1170</v>
      </c>
      <c r="O90" s="6" t="s">
        <v>1171</v>
      </c>
      <c r="S90" s="6" t="s">
        <v>8</v>
      </c>
      <c r="AJ90" s="6" t="s">
        <v>8</v>
      </c>
      <c r="AX90" s="6" t="s">
        <v>8</v>
      </c>
      <c r="BK90" s="6" t="s">
        <v>8</v>
      </c>
      <c r="CB90" s="6" t="s">
        <v>8</v>
      </c>
      <c r="CE90" s="6" t="s">
        <v>8</v>
      </c>
      <c r="CH90" s="6" t="s">
        <v>8</v>
      </c>
      <c r="CJ90" s="6" t="s">
        <v>8</v>
      </c>
      <c r="CL90" s="6" t="s">
        <v>8</v>
      </c>
      <c r="CN90" s="6" t="s">
        <v>8</v>
      </c>
      <c r="DB90" s="6" t="s">
        <v>8</v>
      </c>
    </row>
    <row r="91" spans="1:119" s="6" customFormat="1">
      <c r="A91" t="str">
        <f>HYPERLINK(".\links\pep\TI-370-pep.txt","TI-370")</f>
        <v>TI-370</v>
      </c>
      <c r="B91">
        <v>370</v>
      </c>
      <c r="C91" t="s">
        <v>16</v>
      </c>
      <c r="D91">
        <v>206</v>
      </c>
      <c r="E91" s="2">
        <v>2.4271850000000001</v>
      </c>
      <c r="F91" t="str">
        <f>HYPERLINK(".\links\cds\TI-370-cds.txt","TI-370")</f>
        <v>TI-370</v>
      </c>
      <c r="G91">
        <v>616</v>
      </c>
      <c r="H91"/>
      <c r="I91" t="s">
        <v>8</v>
      </c>
      <c r="J91" t="s">
        <v>8</v>
      </c>
      <c r="K91">
        <v>0</v>
      </c>
      <c r="L91">
        <v>1</v>
      </c>
      <c r="M91">
        <f t="shared" si="1"/>
        <v>1</v>
      </c>
      <c r="N91" t="s">
        <v>1227</v>
      </c>
      <c r="O91" t="s">
        <v>1196</v>
      </c>
      <c r="P91" t="str">
        <f>HYPERLINK(".\links\NR-LIGHT\TI-370-NR-LIGHT.txt","NR-LIGHT")</f>
        <v>NR-LIGHT</v>
      </c>
      <c r="Q91">
        <v>0</v>
      </c>
      <c r="R91">
        <v>22.2</v>
      </c>
      <c r="S91" t="str">
        <f>HYPERLINK(".\links\NR-LIGHT\TI-370-NR-LIGHT.txt","capsid protein precursor")</f>
        <v>capsid protein precursor</v>
      </c>
      <c r="T91" t="str">
        <f>HYPERLINK("http://www.ncbi.nlm.nih.gov/sutils/blink.cgi?pid=20451030","1E-103")</f>
        <v>1E-103</v>
      </c>
      <c r="U91" t="str">
        <f>HYPERLINK("http://www.ncbi.nlm.nih.gov/protein/20451030","gi|20451030")</f>
        <v>gi|20451030</v>
      </c>
      <c r="V91">
        <v>377</v>
      </c>
      <c r="W91">
        <v>192</v>
      </c>
      <c r="X91">
        <v>868</v>
      </c>
      <c r="Y91">
        <v>95</v>
      </c>
      <c r="Z91">
        <v>22</v>
      </c>
      <c r="AA91">
        <v>8</v>
      </c>
      <c r="AB91">
        <v>0</v>
      </c>
      <c r="AC91">
        <v>15</v>
      </c>
      <c r="AD91">
        <v>1</v>
      </c>
      <c r="AE91">
        <v>1</v>
      </c>
      <c r="AF91"/>
      <c r="AG91" t="s">
        <v>13</v>
      </c>
      <c r="AH91" t="s">
        <v>51</v>
      </c>
      <c r="AI91" t="s">
        <v>269</v>
      </c>
      <c r="AJ91" t="str">
        <f>HYPERLINK(".\links\SWISSP\TI-370-SWISSP.txt","Structural polyprotein OS=Cricket paralysis virus (isolate Teleogryllus")</f>
        <v>Structural polyprotein OS=Cricket paralysis virus (isolate Teleogryllus</v>
      </c>
      <c r="AK91" t="str">
        <f>HYPERLINK("http://www.uniprot.org/uniprot/P13418","5E-021")</f>
        <v>5E-021</v>
      </c>
      <c r="AL91" t="s">
        <v>92</v>
      </c>
      <c r="AM91">
        <v>100</v>
      </c>
      <c r="AN91">
        <v>131</v>
      </c>
      <c r="AO91">
        <v>895</v>
      </c>
      <c r="AP91">
        <v>38</v>
      </c>
      <c r="AQ91">
        <v>15</v>
      </c>
      <c r="AR91">
        <v>82</v>
      </c>
      <c r="AS91">
        <v>2</v>
      </c>
      <c r="AT91">
        <v>60</v>
      </c>
      <c r="AU91">
        <v>62</v>
      </c>
      <c r="AV91">
        <v>1</v>
      </c>
      <c r="AW91" t="s">
        <v>93</v>
      </c>
      <c r="AX91" t="s">
        <v>8</v>
      </c>
      <c r="AY91"/>
      <c r="AZ91"/>
      <c r="BA91"/>
      <c r="BB91"/>
      <c r="BC91"/>
      <c r="BD91"/>
      <c r="BE91"/>
      <c r="BF91"/>
      <c r="BG91"/>
      <c r="BH91"/>
      <c r="BI91"/>
      <c r="BJ91"/>
      <c r="BK91" t="s">
        <v>8</v>
      </c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 t="s">
        <v>8</v>
      </c>
      <c r="CC91"/>
      <c r="CD91"/>
      <c r="CE91" t="s">
        <v>8</v>
      </c>
      <c r="CF91"/>
      <c r="CG91"/>
      <c r="CH91" t="s">
        <v>8</v>
      </c>
      <c r="CI91"/>
      <c r="CJ91" t="s">
        <v>8</v>
      </c>
      <c r="CK91"/>
      <c r="CL91" t="s">
        <v>8</v>
      </c>
      <c r="CM91"/>
      <c r="CN91" t="s">
        <v>8</v>
      </c>
      <c r="CO91"/>
      <c r="CP91"/>
      <c r="CQ91"/>
      <c r="CR91"/>
      <c r="CS91"/>
      <c r="CT91"/>
      <c r="CU91"/>
      <c r="CV91"/>
      <c r="CW91"/>
      <c r="CX91"/>
      <c r="CY91"/>
      <c r="CZ91"/>
      <c r="DA91"/>
      <c r="DB91" t="s">
        <v>8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s="6" customFormat="1">
      <c r="A92" s="6" t="str">
        <f>HYPERLINK(".\links\pep\TI-361-pep.txt","TI-361")</f>
        <v>TI-361</v>
      </c>
      <c r="B92" s="6">
        <v>361</v>
      </c>
      <c r="C92" s="6" t="s">
        <v>18</v>
      </c>
      <c r="D92" s="6">
        <v>103</v>
      </c>
      <c r="E92" s="6">
        <v>0</v>
      </c>
      <c r="F92" s="6" t="str">
        <f>HYPERLINK(".\links\cds\TI-361-cds.txt","TI-361")</f>
        <v>TI-361</v>
      </c>
      <c r="G92" s="6">
        <v>312</v>
      </c>
      <c r="I92" s="6" t="s">
        <v>8</v>
      </c>
      <c r="J92" s="6" t="s">
        <v>6</v>
      </c>
      <c r="K92" s="6">
        <v>1</v>
      </c>
      <c r="L92" s="6">
        <v>4</v>
      </c>
      <c r="M92" s="6">
        <f t="shared" si="1"/>
        <v>3</v>
      </c>
      <c r="N92" s="6" t="s">
        <v>1170</v>
      </c>
      <c r="O92" s="6" t="s">
        <v>1171</v>
      </c>
      <c r="S92" s="6" t="str">
        <f>HYPERLINK(".\links\NR-LIGHT\TI-361-NR-LIGHT.txt","AGAP000109-PA")</f>
        <v>AGAP000109-PA</v>
      </c>
      <c r="T92" s="6" t="str">
        <f>HYPERLINK("http://www.ncbi.nlm.nih.gov/sutils/blink.cgi?pid=333467316","1E-006")</f>
        <v>1E-006</v>
      </c>
      <c r="U92" s="6" t="str">
        <f>HYPERLINK("http://www.ncbi.nlm.nih.gov/protein/333467316","gi|333467316")</f>
        <v>gi|333467316</v>
      </c>
      <c r="V92" s="6">
        <v>54.3</v>
      </c>
      <c r="W92" s="6">
        <v>60</v>
      </c>
      <c r="X92" s="6">
        <v>90</v>
      </c>
      <c r="Y92" s="6">
        <v>40</v>
      </c>
      <c r="Z92" s="6">
        <v>68</v>
      </c>
      <c r="AA92" s="6">
        <v>36</v>
      </c>
      <c r="AB92" s="6">
        <v>0</v>
      </c>
      <c r="AC92" s="6">
        <v>24</v>
      </c>
      <c r="AD92" s="6">
        <v>41</v>
      </c>
      <c r="AE92" s="6">
        <v>1</v>
      </c>
      <c r="AG92" s="6" t="s">
        <v>13</v>
      </c>
      <c r="AH92" s="6" t="s">
        <v>51</v>
      </c>
      <c r="AI92" s="6" t="s">
        <v>275</v>
      </c>
      <c r="AJ92" s="6" t="str">
        <f>HYPERLINK(".\links\SWISSP\TI-361-SWISSP.txt","Cytochrome c oxidase subunit 7A1, mitochondrial OS=Saimiri sciureus GN=COX7A1")</f>
        <v>Cytochrome c oxidase subunit 7A1, mitochondrial OS=Saimiri sciureus GN=COX7A1</v>
      </c>
      <c r="AK92" s="6" t="str">
        <f>HYPERLINK("http://www.uniprot.org/uniprot/Q53CF6","1E-004")</f>
        <v>1E-004</v>
      </c>
      <c r="AL92" s="6" t="s">
        <v>207</v>
      </c>
      <c r="AM92" s="6">
        <v>44.7</v>
      </c>
      <c r="AN92" s="6">
        <v>52</v>
      </c>
      <c r="AO92" s="6">
        <v>80</v>
      </c>
      <c r="AP92" s="6">
        <v>36</v>
      </c>
      <c r="AQ92" s="6">
        <v>66</v>
      </c>
      <c r="AR92" s="6">
        <v>38</v>
      </c>
      <c r="AS92" s="6">
        <v>7</v>
      </c>
      <c r="AT92" s="6">
        <v>14</v>
      </c>
      <c r="AU92" s="6">
        <v>33</v>
      </c>
      <c r="AV92" s="6">
        <v>1</v>
      </c>
      <c r="AW92" s="6" t="s">
        <v>208</v>
      </c>
      <c r="AX92" s="6" t="str">
        <f>HYPERLINK(".\links\PREV-RHOD-PEP\TI-361-PREV-RHOD-PEP.txt","Contig3225_5")</f>
        <v>Contig3225_5</v>
      </c>
      <c r="AY92" s="8">
        <v>3.0000000000000003E-20</v>
      </c>
      <c r="AZ92" s="6" t="s">
        <v>1122</v>
      </c>
      <c r="BA92" s="6">
        <v>93.6</v>
      </c>
      <c r="BB92" s="6">
        <v>55</v>
      </c>
      <c r="BC92" s="6">
        <v>227</v>
      </c>
      <c r="BD92" s="6">
        <v>71</v>
      </c>
      <c r="BE92" s="6">
        <v>25</v>
      </c>
      <c r="BF92" s="6">
        <v>16</v>
      </c>
      <c r="BG92" s="6">
        <v>0</v>
      </c>
      <c r="BH92" s="6">
        <v>148</v>
      </c>
      <c r="BI92" s="6">
        <v>44</v>
      </c>
      <c r="BJ92" s="6">
        <v>1</v>
      </c>
      <c r="BK92" s="6" t="s">
        <v>840</v>
      </c>
      <c r="BL92" s="6">
        <f>HYPERLINK(".\links\GO\TI-361-GO.txt",0.002)</f>
        <v>2E-3</v>
      </c>
      <c r="BM92" s="6" t="s">
        <v>841</v>
      </c>
      <c r="BN92" s="6" t="s">
        <v>319</v>
      </c>
      <c r="BO92" s="6" t="s">
        <v>320</v>
      </c>
      <c r="BP92" s="6" t="s">
        <v>842</v>
      </c>
      <c r="BQ92" s="6">
        <v>2E-3</v>
      </c>
      <c r="BR92" s="6" t="s">
        <v>843</v>
      </c>
      <c r="BS92" s="6" t="s">
        <v>323</v>
      </c>
      <c r="BT92" s="6" t="s">
        <v>551</v>
      </c>
      <c r="BU92" s="6" t="s">
        <v>844</v>
      </c>
      <c r="BV92" s="6">
        <v>2E-3</v>
      </c>
      <c r="BW92" s="6" t="s">
        <v>845</v>
      </c>
      <c r="BX92" s="6" t="s">
        <v>319</v>
      </c>
      <c r="BY92" s="6" t="s">
        <v>320</v>
      </c>
      <c r="BZ92" s="6" t="s">
        <v>846</v>
      </c>
      <c r="CA92" s="6">
        <v>2E-3</v>
      </c>
      <c r="CB92" s="6" t="s">
        <v>8</v>
      </c>
      <c r="CE92" s="6" t="s">
        <v>8</v>
      </c>
      <c r="CH92" s="6" t="s">
        <v>8</v>
      </c>
      <c r="CJ92" s="6" t="s">
        <v>8</v>
      </c>
      <c r="CL92" s="6" t="s">
        <v>8</v>
      </c>
      <c r="CN92" s="6" t="s">
        <v>8</v>
      </c>
      <c r="DB92" s="6" t="s">
        <v>8</v>
      </c>
    </row>
    <row r="93" spans="1:119" s="6" customFormat="1">
      <c r="A93" t="str">
        <f>HYPERLINK(".\links\pep\TI-354-pep.txt","TI-354")</f>
        <v>TI-354</v>
      </c>
      <c r="B93">
        <v>354</v>
      </c>
      <c r="C93" t="s">
        <v>23</v>
      </c>
      <c r="D93">
        <v>130</v>
      </c>
      <c r="E93">
        <v>0</v>
      </c>
      <c r="F93" t="str">
        <f>HYPERLINK(".\links\cds\TI-354-cds.txt","TI-354")</f>
        <v>TI-354</v>
      </c>
      <c r="G93">
        <v>389</v>
      </c>
      <c r="H93"/>
      <c r="I93" t="s">
        <v>8</v>
      </c>
      <c r="J93" t="s">
        <v>8</v>
      </c>
      <c r="K93">
        <v>0</v>
      </c>
      <c r="L93">
        <v>1</v>
      </c>
      <c r="M93">
        <f t="shared" si="1"/>
        <v>1</v>
      </c>
      <c r="N93" t="s">
        <v>1323</v>
      </c>
      <c r="O93" t="s">
        <v>1176</v>
      </c>
      <c r="P93" t="str">
        <f>HYPERLINK(".\links\GO\TI-354-GO.txt","GO")</f>
        <v>GO</v>
      </c>
      <c r="Q93" s="3">
        <v>4.0000000000000003E-30</v>
      </c>
      <c r="R93">
        <v>33.299999999999997</v>
      </c>
      <c r="S93" t="str">
        <f>HYPERLINK(".\links\NR-LIGHT\TI-354-NR-LIGHT.txt","conserved hypothetical protein")</f>
        <v>conserved hypothetical protein</v>
      </c>
      <c r="T93" t="str">
        <f>HYPERLINK("http://www.ncbi.nlm.nih.gov/sutils/blink.cgi?pid=242013531","2E-044")</f>
        <v>2E-044</v>
      </c>
      <c r="U93" t="str">
        <f>HYPERLINK("http://www.ncbi.nlm.nih.gov/protein/242013531","gi|242013531")</f>
        <v>gi|242013531</v>
      </c>
      <c r="V93">
        <v>179</v>
      </c>
      <c r="W93">
        <v>100</v>
      </c>
      <c r="X93">
        <v>271</v>
      </c>
      <c r="Y93">
        <v>84</v>
      </c>
      <c r="Z93">
        <v>37</v>
      </c>
      <c r="AA93">
        <v>16</v>
      </c>
      <c r="AB93">
        <v>0</v>
      </c>
      <c r="AC93">
        <v>28</v>
      </c>
      <c r="AD93">
        <v>30</v>
      </c>
      <c r="AE93">
        <v>1</v>
      </c>
      <c r="AF93"/>
      <c r="AG93" t="s">
        <v>13</v>
      </c>
      <c r="AH93" t="s">
        <v>51</v>
      </c>
      <c r="AI93" t="s">
        <v>268</v>
      </c>
      <c r="AJ93" t="str">
        <f>HYPERLINK(".\links\SWISSP\TI-354-SWISSP.txt","Malectin OS=Rattus norvegicus GN=Mlec PE=2 SV=1")</f>
        <v>Malectin OS=Rattus norvegicus GN=Mlec PE=2 SV=1</v>
      </c>
      <c r="AK93" t="str">
        <f>HYPERLINK("http://www.uniprot.org/uniprot/Q5FVQ4","2E-029")</f>
        <v>2E-029</v>
      </c>
      <c r="AL93" t="s">
        <v>203</v>
      </c>
      <c r="AM93">
        <v>127</v>
      </c>
      <c r="AN93">
        <v>96</v>
      </c>
      <c r="AO93">
        <v>291</v>
      </c>
      <c r="AP93">
        <v>58</v>
      </c>
      <c r="AQ93">
        <v>33</v>
      </c>
      <c r="AR93">
        <v>40</v>
      </c>
      <c r="AS93">
        <v>0</v>
      </c>
      <c r="AT93">
        <v>47</v>
      </c>
      <c r="AU93">
        <v>34</v>
      </c>
      <c r="AV93">
        <v>1</v>
      </c>
      <c r="AW93" t="s">
        <v>74</v>
      </c>
      <c r="AX93" t="str">
        <f>HYPERLINK(".\links\PREV-RHOD-PEP\TI-354-PREV-RHOD-PEP.txt","Contig17767_9")</f>
        <v>Contig17767_9</v>
      </c>
      <c r="AY93" s="3">
        <v>2.0000000000000001E-59</v>
      </c>
      <c r="AZ93" t="s">
        <v>1119</v>
      </c>
      <c r="BA93">
        <v>223</v>
      </c>
      <c r="BB93">
        <v>107</v>
      </c>
      <c r="BC93">
        <v>268</v>
      </c>
      <c r="BD93">
        <v>99</v>
      </c>
      <c r="BE93">
        <v>40</v>
      </c>
      <c r="BF93">
        <v>1</v>
      </c>
      <c r="BG93">
        <v>0</v>
      </c>
      <c r="BH93">
        <v>19</v>
      </c>
      <c r="BI93">
        <v>23</v>
      </c>
      <c r="BJ93">
        <v>1</v>
      </c>
      <c r="BK93" t="s">
        <v>826</v>
      </c>
      <c r="BL93">
        <f>HYPERLINK(".\links\GO\TI-354-GO.txt",4E-30)</f>
        <v>4.0000000000000003E-30</v>
      </c>
      <c r="BM93" t="s">
        <v>827</v>
      </c>
      <c r="BN93" t="s">
        <v>340</v>
      </c>
      <c r="BO93" t="s">
        <v>499</v>
      </c>
      <c r="BP93" t="s">
        <v>828</v>
      </c>
      <c r="BQ93" s="3">
        <v>4.0000000000000003E-30</v>
      </c>
      <c r="BR93" t="s">
        <v>764</v>
      </c>
      <c r="BS93" t="s">
        <v>323</v>
      </c>
      <c r="BT93" t="s">
        <v>334</v>
      </c>
      <c r="BU93" t="s">
        <v>765</v>
      </c>
      <c r="BV93" s="3">
        <v>4.0000000000000003E-30</v>
      </c>
      <c r="BW93" t="s">
        <v>8</v>
      </c>
      <c r="BX93" t="s">
        <v>8</v>
      </c>
      <c r="BY93" t="s">
        <v>8</v>
      </c>
      <c r="BZ93" t="s">
        <v>8</v>
      </c>
      <c r="CA93" t="s">
        <v>8</v>
      </c>
      <c r="CB93" t="s">
        <v>8</v>
      </c>
      <c r="CC93"/>
      <c r="CD93"/>
      <c r="CE93" t="s">
        <v>8</v>
      </c>
      <c r="CF93"/>
      <c r="CG93"/>
      <c r="CH93" t="s">
        <v>8</v>
      </c>
      <c r="CI93"/>
      <c r="CJ93" t="s">
        <v>8</v>
      </c>
      <c r="CK93"/>
      <c r="CL93" t="s">
        <v>8</v>
      </c>
      <c r="CM93"/>
      <c r="CN93" t="s">
        <v>8</v>
      </c>
      <c r="CO93"/>
      <c r="CP93"/>
      <c r="CQ93"/>
      <c r="CR93"/>
      <c r="CS93"/>
      <c r="CT93"/>
      <c r="CU93"/>
      <c r="CV93"/>
      <c r="CW93"/>
      <c r="CX93"/>
      <c r="CY93"/>
      <c r="CZ93"/>
      <c r="DA93"/>
      <c r="DB93" t="s">
        <v>8</v>
      </c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s="6" customFormat="1">
      <c r="A94" t="str">
        <f>HYPERLINK(".\links\pep\TI-350-pep.txt","TI-350")</f>
        <v>TI-350</v>
      </c>
      <c r="B94">
        <v>350</v>
      </c>
      <c r="C94" t="s">
        <v>23</v>
      </c>
      <c r="D94">
        <v>119</v>
      </c>
      <c r="E94">
        <v>0</v>
      </c>
      <c r="F94" t="str">
        <f>HYPERLINK(".\links\cds\TI-350-cds.txt","TI-350")</f>
        <v>TI-350</v>
      </c>
      <c r="G94">
        <v>360</v>
      </c>
      <c r="H94"/>
      <c r="I94" t="s">
        <v>8</v>
      </c>
      <c r="J94" t="s">
        <v>6</v>
      </c>
      <c r="K94">
        <v>0</v>
      </c>
      <c r="L94">
        <v>1</v>
      </c>
      <c r="M94">
        <f t="shared" si="1"/>
        <v>1</v>
      </c>
      <c r="N94" t="s">
        <v>1322</v>
      </c>
      <c r="O94" t="s">
        <v>1175</v>
      </c>
      <c r="P94" t="str">
        <f>HYPERLINK(".\links\SWISSP\TI-350-SWISSP.txt","SWISSP")</f>
        <v>SWISSP</v>
      </c>
      <c r="Q94" s="3">
        <v>2.9999999999999998E-31</v>
      </c>
      <c r="R94">
        <v>11.9</v>
      </c>
      <c r="S94" t="str">
        <f>HYPERLINK(".\links\NR-LIGHT\TI-350-NR-LIGHT.txt","heat shock protein cognate 4")</f>
        <v>heat shock protein cognate 4</v>
      </c>
      <c r="T94" t="str">
        <f>HYPERLINK("http://www.ncbi.nlm.nih.gov/sutils/blink.cgi?pid=229892210","5E-031")</f>
        <v>5E-031</v>
      </c>
      <c r="U94" t="str">
        <f>HYPERLINK("http://www.ncbi.nlm.nih.gov/protein/229892210","gi|229892210")</f>
        <v>gi|229892210</v>
      </c>
      <c r="V94">
        <v>134</v>
      </c>
      <c r="W94">
        <v>76</v>
      </c>
      <c r="X94">
        <v>650</v>
      </c>
      <c r="Y94">
        <v>77</v>
      </c>
      <c r="Z94">
        <v>12</v>
      </c>
      <c r="AA94">
        <v>17</v>
      </c>
      <c r="AB94">
        <v>0</v>
      </c>
      <c r="AC94">
        <v>536</v>
      </c>
      <c r="AD94">
        <v>2</v>
      </c>
      <c r="AE94">
        <v>1</v>
      </c>
      <c r="AF94"/>
      <c r="AG94" t="s">
        <v>13</v>
      </c>
      <c r="AH94" t="s">
        <v>51</v>
      </c>
      <c r="AI94" t="s">
        <v>83</v>
      </c>
      <c r="AJ94" t="str">
        <f>HYPERLINK(".\links\SWISSP\TI-350-SWISSP.txt","Heat shock 70 kDa protein cognate 4 OS=Manduca sexta PE=2 SV=1")</f>
        <v>Heat shock 70 kDa protein cognate 4 OS=Manduca sexta PE=2 SV=1</v>
      </c>
      <c r="AK94" t="str">
        <f>HYPERLINK("http://www.uniprot.org/uniprot/Q9U639","3E-031")</f>
        <v>3E-031</v>
      </c>
      <c r="AL94" t="s">
        <v>202</v>
      </c>
      <c r="AM94">
        <v>133</v>
      </c>
      <c r="AN94">
        <v>77</v>
      </c>
      <c r="AO94">
        <v>652</v>
      </c>
      <c r="AP94">
        <v>79</v>
      </c>
      <c r="AQ94">
        <v>12</v>
      </c>
      <c r="AR94">
        <v>16</v>
      </c>
      <c r="AS94">
        <v>0</v>
      </c>
      <c r="AT94">
        <v>535</v>
      </c>
      <c r="AU94">
        <v>1</v>
      </c>
      <c r="AV94">
        <v>1</v>
      </c>
      <c r="AW94" t="s">
        <v>194</v>
      </c>
      <c r="AX94" t="str">
        <f>HYPERLINK(".\links\PREV-RHOD-PEP\TI-350-PREV-RHOD-PEP.txt","Contig17326_44")</f>
        <v>Contig17326_44</v>
      </c>
      <c r="AY94" s="3">
        <v>3.0000000000000003E-39</v>
      </c>
      <c r="AZ94" t="s">
        <v>1118</v>
      </c>
      <c r="BA94">
        <v>155</v>
      </c>
      <c r="BB94">
        <v>78</v>
      </c>
      <c r="BC94">
        <v>652</v>
      </c>
      <c r="BD94">
        <v>96</v>
      </c>
      <c r="BE94">
        <v>12</v>
      </c>
      <c r="BF94">
        <v>3</v>
      </c>
      <c r="BG94">
        <v>0</v>
      </c>
      <c r="BH94">
        <v>535</v>
      </c>
      <c r="BI94">
        <v>1</v>
      </c>
      <c r="BJ94">
        <v>1</v>
      </c>
      <c r="BK94" t="s">
        <v>823</v>
      </c>
      <c r="BL94">
        <f>HYPERLINK(".\links\GO\TI-350-GO.txt",5E-29)</f>
        <v>4.9999999999999999E-29</v>
      </c>
      <c r="BM94" t="s">
        <v>543</v>
      </c>
      <c r="BN94" t="s">
        <v>345</v>
      </c>
      <c r="BO94" t="s">
        <v>349</v>
      </c>
      <c r="BP94" t="s">
        <v>544</v>
      </c>
      <c r="BQ94" s="3">
        <v>4.9999999999999999E-29</v>
      </c>
      <c r="BR94" t="s">
        <v>447</v>
      </c>
      <c r="BS94" t="s">
        <v>323</v>
      </c>
      <c r="BT94" t="s">
        <v>334</v>
      </c>
      <c r="BU94" t="s">
        <v>448</v>
      </c>
      <c r="BV94" s="3">
        <v>4.9999999999999999E-29</v>
      </c>
      <c r="BW94" t="s">
        <v>824</v>
      </c>
      <c r="BX94" t="s">
        <v>345</v>
      </c>
      <c r="BY94" t="s">
        <v>349</v>
      </c>
      <c r="BZ94" t="s">
        <v>825</v>
      </c>
      <c r="CA94" s="3">
        <v>4.9999999999999999E-29</v>
      </c>
      <c r="CB94" t="s">
        <v>8</v>
      </c>
      <c r="CC94"/>
      <c r="CD94"/>
      <c r="CE94" t="s">
        <v>8</v>
      </c>
      <c r="CF94"/>
      <c r="CG94"/>
      <c r="CH94" t="s">
        <v>8</v>
      </c>
      <c r="CI94"/>
      <c r="CJ94" t="s">
        <v>8</v>
      </c>
      <c r="CK94"/>
      <c r="CL94" t="s">
        <v>8</v>
      </c>
      <c r="CM94"/>
      <c r="CN94" t="s">
        <v>8</v>
      </c>
      <c r="CO94"/>
      <c r="CP94"/>
      <c r="CQ94"/>
      <c r="CR94"/>
      <c r="CS94"/>
      <c r="CT94"/>
      <c r="CU94"/>
      <c r="CV94"/>
      <c r="CW94"/>
      <c r="CX94"/>
      <c r="CY94"/>
      <c r="CZ94"/>
      <c r="DA94"/>
      <c r="DB94" t="s">
        <v>8</v>
      </c>
      <c r="DC94"/>
      <c r="DD94"/>
      <c r="DE94"/>
      <c r="DF94"/>
      <c r="DG94"/>
      <c r="DH94"/>
      <c r="DI94"/>
      <c r="DJ94"/>
      <c r="DK94"/>
      <c r="DL94"/>
      <c r="DM94"/>
      <c r="DN94"/>
      <c r="DO94"/>
    </row>
    <row r="95" spans="1:119" s="6" customFormat="1">
      <c r="A95" s="6" t="str">
        <f>HYPERLINK(".\links\pep\TI-349-pep.txt","TI-349")</f>
        <v>TI-349</v>
      </c>
      <c r="B95" s="6">
        <v>349</v>
      </c>
      <c r="C95" s="6" t="s">
        <v>22</v>
      </c>
      <c r="D95" s="6">
        <v>29</v>
      </c>
      <c r="E95" s="6">
        <v>0</v>
      </c>
      <c r="F95" s="6" t="str">
        <f>HYPERLINK(".\links\cds\TI-349-cds.txt","TI-349")</f>
        <v>TI-349</v>
      </c>
      <c r="G95" s="6">
        <v>90</v>
      </c>
      <c r="I95" s="6" t="s">
        <v>8</v>
      </c>
      <c r="J95" s="6" t="s">
        <v>6</v>
      </c>
      <c r="K95" s="6">
        <v>0</v>
      </c>
      <c r="L95" s="6">
        <v>1</v>
      </c>
      <c r="M95" s="6">
        <f t="shared" si="1"/>
        <v>1</v>
      </c>
      <c r="N95" s="6" t="s">
        <v>1170</v>
      </c>
      <c r="O95" s="6" t="s">
        <v>1171</v>
      </c>
      <c r="S95" s="6" t="s">
        <v>8</v>
      </c>
      <c r="AJ95" s="6" t="s">
        <v>8</v>
      </c>
      <c r="AX95" s="6" t="s">
        <v>8</v>
      </c>
      <c r="BK95" s="6" t="s">
        <v>8</v>
      </c>
      <c r="CB95" s="6" t="s">
        <v>8</v>
      </c>
      <c r="CE95" s="6" t="s">
        <v>8</v>
      </c>
      <c r="CH95" s="6" t="s">
        <v>8</v>
      </c>
      <c r="CJ95" s="6" t="s">
        <v>8</v>
      </c>
      <c r="CL95" s="6" t="s">
        <v>8</v>
      </c>
      <c r="CN95" s="6" t="s">
        <v>8</v>
      </c>
      <c r="DB95" s="6" t="s">
        <v>8</v>
      </c>
    </row>
    <row r="96" spans="1:119" s="6" customFormat="1">
      <c r="A96" s="6" t="str">
        <f>HYPERLINK(".\links\pep\TI-348-pep.txt","TI-348")</f>
        <v>TI-348</v>
      </c>
      <c r="B96" s="6">
        <v>348</v>
      </c>
      <c r="C96" s="6" t="s">
        <v>12</v>
      </c>
      <c r="D96" s="6">
        <v>30</v>
      </c>
      <c r="E96" s="6">
        <v>0</v>
      </c>
      <c r="F96" s="6" t="str">
        <f>HYPERLINK(".\links\cds\TI-348-cds.txt","TI-348")</f>
        <v>TI-348</v>
      </c>
      <c r="G96" s="6">
        <v>93</v>
      </c>
      <c r="I96" s="6" t="s">
        <v>8</v>
      </c>
      <c r="J96" s="6" t="s">
        <v>6</v>
      </c>
      <c r="K96" s="6">
        <v>0</v>
      </c>
      <c r="L96" s="6">
        <v>1</v>
      </c>
      <c r="M96" s="6">
        <f t="shared" si="1"/>
        <v>1</v>
      </c>
      <c r="N96" s="6" t="s">
        <v>1170</v>
      </c>
      <c r="O96" s="6" t="s">
        <v>1171</v>
      </c>
      <c r="S96" s="6" t="s">
        <v>8</v>
      </c>
      <c r="AJ96" s="6" t="s">
        <v>8</v>
      </c>
      <c r="AX96" s="6" t="s">
        <v>8</v>
      </c>
      <c r="BK96" s="6" t="s">
        <v>8</v>
      </c>
      <c r="CB96" s="6" t="s">
        <v>8</v>
      </c>
      <c r="CE96" s="6" t="s">
        <v>8</v>
      </c>
      <c r="CH96" s="6" t="s">
        <v>8</v>
      </c>
      <c r="CJ96" s="6" t="s">
        <v>8</v>
      </c>
      <c r="CL96" s="6" t="s">
        <v>8</v>
      </c>
      <c r="CN96" s="6" t="s">
        <v>8</v>
      </c>
      <c r="DB96" s="6" t="s">
        <v>8</v>
      </c>
    </row>
    <row r="97" spans="1:119" s="6" customFormat="1">
      <c r="A97" t="str">
        <f>HYPERLINK(".\links\pep\TI-339-pep.txt","TI-339")</f>
        <v>TI-339</v>
      </c>
      <c r="B97">
        <v>339</v>
      </c>
      <c r="C97" t="s">
        <v>7</v>
      </c>
      <c r="D97">
        <v>208</v>
      </c>
      <c r="E97">
        <v>0</v>
      </c>
      <c r="F97" t="str">
        <f>HYPERLINK(".\links\cds\TI-339-cds.txt","TI-339")</f>
        <v>TI-339</v>
      </c>
      <c r="G97">
        <v>622</v>
      </c>
      <c r="H97"/>
      <c r="I97" t="s">
        <v>29</v>
      </c>
      <c r="J97" t="s">
        <v>8</v>
      </c>
      <c r="K97">
        <v>0</v>
      </c>
      <c r="L97">
        <v>1</v>
      </c>
      <c r="M97">
        <f t="shared" si="1"/>
        <v>1</v>
      </c>
      <c r="N97" t="s">
        <v>1216</v>
      </c>
      <c r="O97" t="s">
        <v>1203</v>
      </c>
      <c r="P97" t="str">
        <f>HYPERLINK(".\links\NR-LIGHT\TI-339-NR-LIGHT.txt","NR-LIGHT")</f>
        <v>NR-LIGHT</v>
      </c>
      <c r="Q97" s="3">
        <v>4.9999999999999998E-45</v>
      </c>
      <c r="R97">
        <v>59</v>
      </c>
      <c r="S97" t="str">
        <f>HYPERLINK(".\links\NR-LIGHT\TI-339-NR-LIGHT.txt","truncated histone H1")</f>
        <v>truncated histone H1</v>
      </c>
      <c r="T97" t="str">
        <f>HYPERLINK("http://www.ncbi.nlm.nih.gov/sutils/blink.cgi?pid=149689210","5E-045")</f>
        <v>5E-045</v>
      </c>
      <c r="U97" t="str">
        <f>HYPERLINK("http://www.ncbi.nlm.nih.gov/protein/149689210","gi|149689210")</f>
        <v>gi|149689210</v>
      </c>
      <c r="V97">
        <v>182</v>
      </c>
      <c r="W97">
        <v>117</v>
      </c>
      <c r="X97">
        <v>197</v>
      </c>
      <c r="Y97">
        <v>83</v>
      </c>
      <c r="Z97">
        <v>60</v>
      </c>
      <c r="AA97">
        <v>19</v>
      </c>
      <c r="AB97">
        <v>0</v>
      </c>
      <c r="AC97">
        <v>1</v>
      </c>
      <c r="AD97">
        <v>1</v>
      </c>
      <c r="AE97">
        <v>1</v>
      </c>
      <c r="AF97"/>
      <c r="AG97" t="s">
        <v>13</v>
      </c>
      <c r="AH97" t="s">
        <v>51</v>
      </c>
      <c r="AI97" t="s">
        <v>273</v>
      </c>
      <c r="AJ97" t="str">
        <f>HYPERLINK(".\links\SWISSP\TI-339-SWISSP.txt","Histone H1 OS=Drosophila melanogaster GN=His1 PE=1 SV=1")</f>
        <v>Histone H1 OS=Drosophila melanogaster GN=His1 PE=1 SV=1</v>
      </c>
      <c r="AK97" t="str">
        <f>HYPERLINK("http://www.uniprot.org/uniprot/P02255","6E-026")</f>
        <v>6E-026</v>
      </c>
      <c r="AL97" t="s">
        <v>163</v>
      </c>
      <c r="AM97">
        <v>117</v>
      </c>
      <c r="AN97">
        <v>75</v>
      </c>
      <c r="AO97">
        <v>256</v>
      </c>
      <c r="AP97">
        <v>68</v>
      </c>
      <c r="AQ97">
        <v>30</v>
      </c>
      <c r="AR97">
        <v>24</v>
      </c>
      <c r="AS97">
        <v>0</v>
      </c>
      <c r="AT97">
        <v>45</v>
      </c>
      <c r="AU97">
        <v>39</v>
      </c>
      <c r="AV97">
        <v>1</v>
      </c>
      <c r="AW97" t="s">
        <v>52</v>
      </c>
      <c r="AX97" t="str">
        <f>HYPERLINK(".\links\PREV-RHOD-PEP\TI-339-PREV-RHOD-PEP.txt","Contig18070_21")</f>
        <v>Contig18070_21</v>
      </c>
      <c r="AY97" s="3">
        <v>9.9999999999999996E-39</v>
      </c>
      <c r="AZ97" t="s">
        <v>1081</v>
      </c>
      <c r="BA97">
        <v>155</v>
      </c>
      <c r="BB97">
        <v>81</v>
      </c>
      <c r="BC97">
        <v>208</v>
      </c>
      <c r="BD97">
        <v>90</v>
      </c>
      <c r="BE97">
        <v>39</v>
      </c>
      <c r="BF97">
        <v>8</v>
      </c>
      <c r="BG97">
        <v>0</v>
      </c>
      <c r="BH97">
        <v>40</v>
      </c>
      <c r="BI97">
        <v>39</v>
      </c>
      <c r="BJ97">
        <v>1</v>
      </c>
      <c r="BK97" t="s">
        <v>759</v>
      </c>
      <c r="BL97">
        <f>HYPERLINK(".\links\GO\TI-339-GO.txt",2E-26)</f>
        <v>2.0000000000000001E-26</v>
      </c>
      <c r="BM97" t="s">
        <v>467</v>
      </c>
      <c r="BN97" t="s">
        <v>340</v>
      </c>
      <c r="BO97" t="s">
        <v>468</v>
      </c>
      <c r="BP97" t="s">
        <v>469</v>
      </c>
      <c r="BQ97" s="3">
        <v>2.0000000000000001E-26</v>
      </c>
      <c r="BR97" t="s">
        <v>447</v>
      </c>
      <c r="BS97" t="s">
        <v>323</v>
      </c>
      <c r="BT97" t="s">
        <v>334</v>
      </c>
      <c r="BU97" t="s">
        <v>448</v>
      </c>
      <c r="BV97" s="3">
        <v>2.0000000000000001E-26</v>
      </c>
      <c r="BW97" t="s">
        <v>710</v>
      </c>
      <c r="BX97" t="s">
        <v>340</v>
      </c>
      <c r="BY97" t="s">
        <v>468</v>
      </c>
      <c r="BZ97" t="s">
        <v>711</v>
      </c>
      <c r="CA97" s="3">
        <v>2.0000000000000001E-26</v>
      </c>
      <c r="CB97" t="s">
        <v>8</v>
      </c>
      <c r="CC97"/>
      <c r="CD97"/>
      <c r="CE97" t="s">
        <v>8</v>
      </c>
      <c r="CF97"/>
      <c r="CG97"/>
      <c r="CH97" t="s">
        <v>8</v>
      </c>
      <c r="CI97"/>
      <c r="CJ97" t="s">
        <v>8</v>
      </c>
      <c r="CK97"/>
      <c r="CL97" t="s">
        <v>8</v>
      </c>
      <c r="CM97"/>
      <c r="CN97" t="s">
        <v>8</v>
      </c>
      <c r="CO97"/>
      <c r="CP97"/>
      <c r="CQ97"/>
      <c r="CR97"/>
      <c r="CS97"/>
      <c r="CT97"/>
      <c r="CU97"/>
      <c r="CV97"/>
      <c r="CW97"/>
      <c r="CX97"/>
      <c r="CY97"/>
      <c r="CZ97"/>
      <c r="DA97"/>
      <c r="DB97" t="s">
        <v>8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</row>
    <row r="98" spans="1:119" s="6" customFormat="1">
      <c r="A98" t="str">
        <f>HYPERLINK(".\links\pep\TI-336-pep.txt","TI-336")</f>
        <v>TI-336</v>
      </c>
      <c r="B98">
        <v>336</v>
      </c>
      <c r="C98" t="s">
        <v>11</v>
      </c>
      <c r="D98">
        <v>42</v>
      </c>
      <c r="E98">
        <v>0</v>
      </c>
      <c r="F98" t="str">
        <f>HYPERLINK(".\links\cds\TI-336-cds.txt","TI-336")</f>
        <v>TI-336</v>
      </c>
      <c r="G98">
        <v>125</v>
      </c>
      <c r="H98"/>
      <c r="I98" t="s">
        <v>8</v>
      </c>
      <c r="J98" t="s">
        <v>8</v>
      </c>
      <c r="K98">
        <v>0</v>
      </c>
      <c r="L98">
        <v>1</v>
      </c>
      <c r="M98">
        <f t="shared" si="1"/>
        <v>1</v>
      </c>
      <c r="N98" t="s">
        <v>1321</v>
      </c>
      <c r="O98" t="s">
        <v>1169</v>
      </c>
      <c r="P98" t="str">
        <f>HYPERLINK(".\links\NR-LIGHT\TI-336-NR-LIGHT.txt","NR-LIGHT")</f>
        <v>NR-LIGHT</v>
      </c>
      <c r="Q98" s="3">
        <v>1.0000000000000001E-17</v>
      </c>
      <c r="R98">
        <v>14.5</v>
      </c>
      <c r="S98" t="str">
        <f>HYPERLINK(".\links\NR-LIGHT\TI-336-NR-LIGHT.txt","ribosomal protein L5")</f>
        <v>ribosomal protein L5</v>
      </c>
      <c r="T98" t="str">
        <f>HYPERLINK("http://www.ncbi.nlm.nih.gov/sutils/blink.cgi?pid=307095210","1E-017")</f>
        <v>1E-017</v>
      </c>
      <c r="U98" t="str">
        <f>HYPERLINK("http://www.ncbi.nlm.nih.gov/protein/307095210","gi|307095210")</f>
        <v>gi|307095210</v>
      </c>
      <c r="V98">
        <v>90.5</v>
      </c>
      <c r="W98">
        <v>41</v>
      </c>
      <c r="X98">
        <v>288</v>
      </c>
      <c r="Y98">
        <v>100</v>
      </c>
      <c r="Z98">
        <v>15</v>
      </c>
      <c r="AA98">
        <v>0</v>
      </c>
      <c r="AB98">
        <v>0</v>
      </c>
      <c r="AC98">
        <v>150</v>
      </c>
      <c r="AD98">
        <v>1</v>
      </c>
      <c r="AE98">
        <v>1</v>
      </c>
      <c r="AF98"/>
      <c r="AG98" t="s">
        <v>13</v>
      </c>
      <c r="AH98" t="s">
        <v>51</v>
      </c>
      <c r="AI98" t="s">
        <v>278</v>
      </c>
      <c r="AJ98" t="str">
        <f>HYPERLINK(".\links\SWISSP\TI-336-SWISSP.txt","60S ribosomal protein L5 OS=Toxoptera citricida GN=RpL5 PE=2 SV=1")</f>
        <v>60S ribosomal protein L5 OS=Toxoptera citricida GN=RpL5 PE=2 SV=1</v>
      </c>
      <c r="AK98" t="str">
        <f>HYPERLINK("http://www.uniprot.org/uniprot/Q5XUC7","4E-015")</f>
        <v>4E-015</v>
      </c>
      <c r="AL98" t="s">
        <v>200</v>
      </c>
      <c r="AM98">
        <v>80.099999999999994</v>
      </c>
      <c r="AN98">
        <v>41</v>
      </c>
      <c r="AO98">
        <v>300</v>
      </c>
      <c r="AP98">
        <v>83</v>
      </c>
      <c r="AQ98">
        <v>14</v>
      </c>
      <c r="AR98">
        <v>7</v>
      </c>
      <c r="AS98">
        <v>0</v>
      </c>
      <c r="AT98">
        <v>150</v>
      </c>
      <c r="AU98">
        <v>1</v>
      </c>
      <c r="AV98">
        <v>1</v>
      </c>
      <c r="AW98" t="s">
        <v>201</v>
      </c>
      <c r="AX98" t="str">
        <f>HYPERLINK(".\links\PREV-RHOD-PEP\TI-336-PREV-RHOD-PEP.txt","Contig17959_111")</f>
        <v>Contig17959_111</v>
      </c>
      <c r="AY98" s="3">
        <v>3.0000000000000003E-20</v>
      </c>
      <c r="AZ98" t="s">
        <v>1117</v>
      </c>
      <c r="BA98">
        <v>93.2</v>
      </c>
      <c r="BB98">
        <v>41</v>
      </c>
      <c r="BC98">
        <v>662</v>
      </c>
      <c r="BD98">
        <v>100</v>
      </c>
      <c r="BE98">
        <v>6</v>
      </c>
      <c r="BF98">
        <v>0</v>
      </c>
      <c r="BG98">
        <v>0</v>
      </c>
      <c r="BH98">
        <v>564</v>
      </c>
      <c r="BI98">
        <v>1</v>
      </c>
      <c r="BJ98">
        <v>1</v>
      </c>
      <c r="BK98" t="s">
        <v>822</v>
      </c>
      <c r="BL98">
        <f>HYPERLINK(".\links\GO\TI-336-GO.txt",0.00000000000002)</f>
        <v>2E-14</v>
      </c>
      <c r="BM98" t="s">
        <v>329</v>
      </c>
      <c r="BN98" t="s">
        <v>330</v>
      </c>
      <c r="BO98" t="s">
        <v>331</v>
      </c>
      <c r="BP98" t="s">
        <v>332</v>
      </c>
      <c r="BQ98">
        <v>2.9999999999999998E-14</v>
      </c>
      <c r="BR98" t="s">
        <v>333</v>
      </c>
      <c r="BS98" t="s">
        <v>323</v>
      </c>
      <c r="BT98" t="s">
        <v>334</v>
      </c>
      <c r="BU98" t="s">
        <v>335</v>
      </c>
      <c r="BV98">
        <v>2.9999999999999998E-14</v>
      </c>
      <c r="BW98" t="s">
        <v>336</v>
      </c>
      <c r="BX98" t="s">
        <v>330</v>
      </c>
      <c r="BY98" t="s">
        <v>331</v>
      </c>
      <c r="BZ98" t="s">
        <v>337</v>
      </c>
      <c r="CA98">
        <v>2.9999999999999998E-14</v>
      </c>
      <c r="CB98" t="s">
        <v>8</v>
      </c>
      <c r="CC98"/>
      <c r="CD98"/>
      <c r="CE98" t="s">
        <v>8</v>
      </c>
      <c r="CF98"/>
      <c r="CG98"/>
      <c r="CH98" t="s">
        <v>8</v>
      </c>
      <c r="CI98"/>
      <c r="CJ98" t="s">
        <v>8</v>
      </c>
      <c r="CK98"/>
      <c r="CL98" t="s">
        <v>8</v>
      </c>
      <c r="CM98"/>
      <c r="CN98" t="s">
        <v>8</v>
      </c>
      <c r="CO98"/>
      <c r="CP98"/>
      <c r="CQ98"/>
      <c r="CR98"/>
      <c r="CS98"/>
      <c r="CT98"/>
      <c r="CU98"/>
      <c r="CV98"/>
      <c r="CW98"/>
      <c r="CX98"/>
      <c r="CY98"/>
      <c r="CZ98"/>
      <c r="DA98"/>
      <c r="DB98" t="s">
        <v>8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</row>
    <row r="99" spans="1:119" s="6" customFormat="1">
      <c r="A99" s="6" t="str">
        <f>HYPERLINK(".\links\pep\TI-331-pep.txt","TI-331")</f>
        <v>TI-331</v>
      </c>
      <c r="B99" s="6">
        <v>331</v>
      </c>
      <c r="C99" s="6" t="s">
        <v>12</v>
      </c>
      <c r="D99" s="6">
        <v>48</v>
      </c>
      <c r="E99" s="6">
        <v>0</v>
      </c>
      <c r="F99" s="6" t="str">
        <f>HYPERLINK(".\links\cds\TI-331-cds.txt","TI-331")</f>
        <v>TI-331</v>
      </c>
      <c r="G99" s="6">
        <v>69</v>
      </c>
      <c r="I99" s="6" t="s">
        <v>8</v>
      </c>
      <c r="J99" s="6" t="s">
        <v>8</v>
      </c>
      <c r="K99" s="6">
        <v>0</v>
      </c>
      <c r="L99" s="6">
        <v>1</v>
      </c>
      <c r="M99" s="6">
        <f t="shared" si="1"/>
        <v>1</v>
      </c>
      <c r="N99" s="6" t="s">
        <v>1170</v>
      </c>
      <c r="O99" s="6" t="s">
        <v>1171</v>
      </c>
      <c r="S99" s="6" t="s">
        <v>8</v>
      </c>
      <c r="AJ99" s="6" t="s">
        <v>8</v>
      </c>
      <c r="AX99" s="6" t="s">
        <v>8</v>
      </c>
      <c r="BK99" s="6" t="s">
        <v>8</v>
      </c>
      <c r="CB99" s="6" t="s">
        <v>8</v>
      </c>
      <c r="CE99" s="6" t="s">
        <v>8</v>
      </c>
      <c r="CH99" s="6" t="s">
        <v>8</v>
      </c>
      <c r="CJ99" s="6" t="s">
        <v>8</v>
      </c>
      <c r="CL99" s="6" t="s">
        <v>8</v>
      </c>
      <c r="CN99" s="6" t="s">
        <v>8</v>
      </c>
      <c r="DB99" s="6" t="s">
        <v>8</v>
      </c>
    </row>
    <row r="100" spans="1:119" s="6" customFormat="1">
      <c r="A100" t="str">
        <f>HYPERLINK(".\links\pep\TI-326-pep.txt","TI-326")</f>
        <v>TI-326</v>
      </c>
      <c r="B100">
        <v>326</v>
      </c>
      <c r="C100" t="s">
        <v>19</v>
      </c>
      <c r="D100">
        <v>130</v>
      </c>
      <c r="E100">
        <v>0</v>
      </c>
      <c r="F100" t="str">
        <f>HYPERLINK(".\links\cds\TI-326-cds.txt","TI-326")</f>
        <v>TI-326</v>
      </c>
      <c r="G100">
        <v>393</v>
      </c>
      <c r="H100"/>
      <c r="I100" t="s">
        <v>8</v>
      </c>
      <c r="J100" t="s">
        <v>6</v>
      </c>
      <c r="K100">
        <v>0</v>
      </c>
      <c r="L100">
        <v>1</v>
      </c>
      <c r="M100">
        <f t="shared" si="1"/>
        <v>1</v>
      </c>
      <c r="N100" t="s">
        <v>1319</v>
      </c>
      <c r="O100" t="s">
        <v>1169</v>
      </c>
      <c r="P100" t="str">
        <f>HYPERLINK(".\links\NR-LIGHT\TI-326-NR-LIGHT.txt","NR-LIGHT")</f>
        <v>NR-LIGHT</v>
      </c>
      <c r="Q100" s="3">
        <v>6.0000000000000003E-70</v>
      </c>
      <c r="R100">
        <v>28.1</v>
      </c>
      <c r="S100" t="str">
        <f>HYPERLINK(".\links\NR-LIGHT\TI-326-NR-LIGHT.txt","putative elongation factor 1-alpha")</f>
        <v>putative elongation factor 1-alpha</v>
      </c>
      <c r="T100" t="str">
        <f>HYPERLINK("http://www.ncbi.nlm.nih.gov/sutils/blink.cgi?pid=307095102","6E-070")</f>
        <v>6E-070</v>
      </c>
      <c r="U100" t="str">
        <f>HYPERLINK("http://www.ncbi.nlm.nih.gov/protein/307095102","gi|307095102")</f>
        <v>gi|307095102</v>
      </c>
      <c r="V100">
        <v>264</v>
      </c>
      <c r="W100">
        <v>129</v>
      </c>
      <c r="X100">
        <v>462</v>
      </c>
      <c r="Y100">
        <v>98</v>
      </c>
      <c r="Z100">
        <v>28</v>
      </c>
      <c r="AA100">
        <v>2</v>
      </c>
      <c r="AB100">
        <v>0</v>
      </c>
      <c r="AC100">
        <v>333</v>
      </c>
      <c r="AD100">
        <v>1</v>
      </c>
      <c r="AE100">
        <v>1</v>
      </c>
      <c r="AF100"/>
      <c r="AG100" t="s">
        <v>13</v>
      </c>
      <c r="AH100" t="s">
        <v>51</v>
      </c>
      <c r="AI100" t="s">
        <v>278</v>
      </c>
      <c r="AJ100" t="str">
        <f>HYPERLINK(".\links\SWISSP\TI-326-SWISSP.txt","Elongation factor 1-alpha 1 OS=Drosophila melanogaster GN=Ef1alpha48D PE=1 SV=2")</f>
        <v>Elongation factor 1-alpha 1 OS=Drosophila melanogaster GN=Ef1alpha48D PE=1 SV=2</v>
      </c>
      <c r="AK100" t="str">
        <f>HYPERLINK("http://www.uniprot.org/uniprot/P08736","5E-062")</f>
        <v>5E-062</v>
      </c>
      <c r="AL100" t="s">
        <v>197</v>
      </c>
      <c r="AM100">
        <v>235</v>
      </c>
      <c r="AN100">
        <v>129</v>
      </c>
      <c r="AO100">
        <v>463</v>
      </c>
      <c r="AP100">
        <v>86</v>
      </c>
      <c r="AQ100">
        <v>28</v>
      </c>
      <c r="AR100">
        <v>18</v>
      </c>
      <c r="AS100">
        <v>0</v>
      </c>
      <c r="AT100">
        <v>333</v>
      </c>
      <c r="AU100">
        <v>1</v>
      </c>
      <c r="AV100">
        <v>1</v>
      </c>
      <c r="AW100" t="s">
        <v>52</v>
      </c>
      <c r="AX100" t="str">
        <f>HYPERLINK(".\links\PREV-RHOD-PEP\TI-326-PREV-RHOD-PEP.txt","Contig17792_130")</f>
        <v>Contig17792_130</v>
      </c>
      <c r="AY100" s="3">
        <v>1.9999999999999999E-44</v>
      </c>
      <c r="AZ100" t="s">
        <v>1113</v>
      </c>
      <c r="BA100">
        <v>173</v>
      </c>
      <c r="BB100">
        <v>98</v>
      </c>
      <c r="BC100">
        <v>441</v>
      </c>
      <c r="BD100">
        <v>74</v>
      </c>
      <c r="BE100">
        <v>22</v>
      </c>
      <c r="BF100">
        <v>31</v>
      </c>
      <c r="BG100">
        <v>21</v>
      </c>
      <c r="BH100">
        <v>333</v>
      </c>
      <c r="BI100">
        <v>1</v>
      </c>
      <c r="BJ100">
        <v>1</v>
      </c>
      <c r="BK100" t="s">
        <v>811</v>
      </c>
      <c r="BL100">
        <f>HYPERLINK(".\links\GO\TI-326-GO.txt",1E-62)</f>
        <v>1E-62</v>
      </c>
      <c r="BM100" t="s">
        <v>812</v>
      </c>
      <c r="BN100" t="s">
        <v>635</v>
      </c>
      <c r="BO100" t="s">
        <v>636</v>
      </c>
      <c r="BP100" t="s">
        <v>813</v>
      </c>
      <c r="BQ100" s="3">
        <v>1E-62</v>
      </c>
      <c r="BR100" t="s">
        <v>431</v>
      </c>
      <c r="BS100" t="s">
        <v>323</v>
      </c>
      <c r="BT100" t="s">
        <v>334</v>
      </c>
      <c r="BU100" t="s">
        <v>432</v>
      </c>
      <c r="BV100" s="3">
        <v>1E-62</v>
      </c>
      <c r="BW100" t="s">
        <v>814</v>
      </c>
      <c r="BX100" t="s">
        <v>635</v>
      </c>
      <c r="BY100" t="s">
        <v>636</v>
      </c>
      <c r="BZ100" t="s">
        <v>815</v>
      </c>
      <c r="CA100" s="3">
        <v>1E-62</v>
      </c>
      <c r="CB100" t="s">
        <v>8</v>
      </c>
      <c r="CC100"/>
      <c r="CD100"/>
      <c r="CE100" t="s">
        <v>8</v>
      </c>
      <c r="CF100"/>
      <c r="CG100"/>
      <c r="CH100" t="s">
        <v>8</v>
      </c>
      <c r="CI100"/>
      <c r="CJ100" t="s">
        <v>8</v>
      </c>
      <c r="CK100"/>
      <c r="CL100" t="s">
        <v>8</v>
      </c>
      <c r="CM100"/>
      <c r="CN100" t="s">
        <v>8</v>
      </c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 t="s">
        <v>8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</row>
    <row r="101" spans="1:119" s="6" customFormat="1">
      <c r="A101" t="str">
        <f>HYPERLINK(".\links\pep\TI-320-pep.txt","TI-320")</f>
        <v>TI-320</v>
      </c>
      <c r="B101">
        <v>320</v>
      </c>
      <c r="C101" t="s">
        <v>24</v>
      </c>
      <c r="D101">
        <v>238</v>
      </c>
      <c r="E101">
        <v>0</v>
      </c>
      <c r="F101" t="str">
        <f>HYPERLINK(".\links\cds\TI-320-cds.txt","TI-320")</f>
        <v>TI-320</v>
      </c>
      <c r="G101">
        <v>717</v>
      </c>
      <c r="H101"/>
      <c r="I101" t="s">
        <v>8</v>
      </c>
      <c r="J101" t="s">
        <v>6</v>
      </c>
      <c r="K101">
        <v>0</v>
      </c>
      <c r="L101">
        <v>1</v>
      </c>
      <c r="M101">
        <f t="shared" si="1"/>
        <v>1</v>
      </c>
      <c r="N101" t="s">
        <v>1317</v>
      </c>
      <c r="O101" t="s">
        <v>1181</v>
      </c>
      <c r="P101" t="str">
        <f>HYPERLINK(".\links\NR-LIGHT\TI-320-NR-LIGHT.txt","NR-LIGHT")</f>
        <v>NR-LIGHT</v>
      </c>
      <c r="Q101">
        <v>0</v>
      </c>
      <c r="R101">
        <v>53</v>
      </c>
      <c r="S101" t="str">
        <f>HYPERLINK(".\links\NR-LIGHT\TI-320-NR-LIGHT.txt","tubulin beta-1 chain")</f>
        <v>tubulin beta-1 chain</v>
      </c>
      <c r="T101" t="str">
        <f>HYPERLINK("http://www.ncbi.nlm.nih.gov/sutils/blink.cgi?pid=48095525","1E-137")</f>
        <v>1E-137</v>
      </c>
      <c r="U101" t="str">
        <f>HYPERLINK("http://www.ncbi.nlm.nih.gov/protein/48095525","gi|48095525")</f>
        <v>gi|48095525</v>
      </c>
      <c r="V101">
        <v>488</v>
      </c>
      <c r="W101">
        <v>236</v>
      </c>
      <c r="X101">
        <v>447</v>
      </c>
      <c r="Y101">
        <v>96</v>
      </c>
      <c r="Z101">
        <v>53</v>
      </c>
      <c r="AA101">
        <v>8</v>
      </c>
      <c r="AB101">
        <v>0</v>
      </c>
      <c r="AC101">
        <v>208</v>
      </c>
      <c r="AD101">
        <v>1</v>
      </c>
      <c r="AE101">
        <v>1</v>
      </c>
      <c r="AF101"/>
      <c r="AG101" t="s">
        <v>13</v>
      </c>
      <c r="AH101" t="s">
        <v>51</v>
      </c>
      <c r="AI101" t="s">
        <v>294</v>
      </c>
      <c r="AJ101" t="str">
        <f>HYPERLINK(".\links\SWISSP\TI-320-SWISSP.txt","Tubulin beta-1 chain OS=Manduca sexta PE=2 SV=1")</f>
        <v>Tubulin beta-1 chain OS=Manduca sexta PE=2 SV=1</v>
      </c>
      <c r="AK101" t="str">
        <f>HYPERLINK("http://www.uniprot.org/uniprot/O17449","1E-135")</f>
        <v>1E-135</v>
      </c>
      <c r="AL101" t="s">
        <v>193</v>
      </c>
      <c r="AM101">
        <v>479</v>
      </c>
      <c r="AN101">
        <v>226</v>
      </c>
      <c r="AO101">
        <v>447</v>
      </c>
      <c r="AP101">
        <v>99</v>
      </c>
      <c r="AQ101">
        <v>51</v>
      </c>
      <c r="AR101">
        <v>2</v>
      </c>
      <c r="AS101">
        <v>0</v>
      </c>
      <c r="AT101">
        <v>208</v>
      </c>
      <c r="AU101">
        <v>1</v>
      </c>
      <c r="AV101">
        <v>1</v>
      </c>
      <c r="AW101" t="s">
        <v>194</v>
      </c>
      <c r="AX101" t="str">
        <f>HYPERLINK(".\links\PREV-RHOD-PEP\TI-320-PREV-RHOD-PEP.txt","Contig17812_30")</f>
        <v>Contig17812_30</v>
      </c>
      <c r="AY101" s="3">
        <v>9.9999999999999998E-141</v>
      </c>
      <c r="AZ101" t="s">
        <v>1110</v>
      </c>
      <c r="BA101">
        <v>492</v>
      </c>
      <c r="BB101">
        <v>236</v>
      </c>
      <c r="BC101">
        <v>375</v>
      </c>
      <c r="BD101">
        <v>97</v>
      </c>
      <c r="BE101">
        <v>63</v>
      </c>
      <c r="BF101">
        <v>6</v>
      </c>
      <c r="BG101">
        <v>0</v>
      </c>
      <c r="BH101">
        <v>136</v>
      </c>
      <c r="BI101">
        <v>1</v>
      </c>
      <c r="BJ101">
        <v>1</v>
      </c>
      <c r="BK101" t="s">
        <v>799</v>
      </c>
      <c r="BL101">
        <f>HYPERLINK(".\links\GO\TI-320-GO.txt",0)</f>
        <v>0</v>
      </c>
      <c r="BM101" t="s">
        <v>800</v>
      </c>
      <c r="BN101" t="s">
        <v>340</v>
      </c>
      <c r="BO101" t="s">
        <v>576</v>
      </c>
      <c r="BP101" t="s">
        <v>801</v>
      </c>
      <c r="BQ101" s="3">
        <v>9.9999999999999999E-132</v>
      </c>
      <c r="BR101" t="s">
        <v>802</v>
      </c>
      <c r="BS101" t="s">
        <v>323</v>
      </c>
      <c r="BT101" t="s">
        <v>334</v>
      </c>
      <c r="BU101" t="s">
        <v>803</v>
      </c>
      <c r="BV101" s="3">
        <v>9.9999999999999999E-132</v>
      </c>
      <c r="BW101" t="s">
        <v>796</v>
      </c>
      <c r="BX101" t="s">
        <v>340</v>
      </c>
      <c r="BY101" t="s">
        <v>576</v>
      </c>
      <c r="BZ101" t="s">
        <v>797</v>
      </c>
      <c r="CA101" s="3">
        <v>9.9999999999999999E-132</v>
      </c>
      <c r="CB101" t="s">
        <v>8</v>
      </c>
      <c r="CC101"/>
      <c r="CD101"/>
      <c r="CE101" t="s">
        <v>8</v>
      </c>
      <c r="CF101"/>
      <c r="CG101"/>
      <c r="CH101" t="s">
        <v>8</v>
      </c>
      <c r="CI101"/>
      <c r="CJ101" t="s">
        <v>8</v>
      </c>
      <c r="CK101"/>
      <c r="CL101" t="s">
        <v>8</v>
      </c>
      <c r="CM101"/>
      <c r="CN101" t="s">
        <v>8</v>
      </c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 t="s">
        <v>8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</row>
    <row r="102" spans="1:119" s="6" customFormat="1">
      <c r="A102" t="str">
        <f>HYPERLINK(".\links\pep\TI-315-pep.txt","TI-315")</f>
        <v>TI-315</v>
      </c>
      <c r="B102">
        <v>315</v>
      </c>
      <c r="C102" t="s">
        <v>7</v>
      </c>
      <c r="D102">
        <v>114</v>
      </c>
      <c r="E102">
        <v>0</v>
      </c>
      <c r="F102" t="str">
        <f>HYPERLINK(".\links\cds\TI-315-cds.txt","TI-315")</f>
        <v>TI-315</v>
      </c>
      <c r="G102">
        <v>340</v>
      </c>
      <c r="H102"/>
      <c r="I102" t="s">
        <v>29</v>
      </c>
      <c r="J102" t="s">
        <v>8</v>
      </c>
      <c r="K102">
        <v>0</v>
      </c>
      <c r="L102">
        <v>1</v>
      </c>
      <c r="M102">
        <f t="shared" ref="M102:M147" si="2">ABS(K102-L102)</f>
        <v>1</v>
      </c>
      <c r="N102" t="s">
        <v>1314</v>
      </c>
      <c r="O102" t="s">
        <v>1181</v>
      </c>
      <c r="P102" t="str">
        <f>HYPERLINK(".\links\GO\TI-315-GO.txt","GO")</f>
        <v>GO</v>
      </c>
      <c r="Q102" s="3">
        <v>4.9999999999999998E-65</v>
      </c>
      <c r="R102">
        <v>25.3</v>
      </c>
      <c r="S102" t="str">
        <f>HYPERLINK(".\links\NR-LIGHT\TI-315-NR-LIGHT.txt","similar to tubulin, alpha 2 isoform 2 isoform 2")</f>
        <v>similar to tubulin, alpha 2 isoform 2 isoform 2</v>
      </c>
      <c r="T102" t="str">
        <f>HYPERLINK("http://www.ncbi.nlm.nih.gov/sutils/blink.cgi?pid=73995895","8E-064")</f>
        <v>8E-064</v>
      </c>
      <c r="U102" t="str">
        <f>HYPERLINK("http://www.ncbi.nlm.nih.gov/protein/73995895","gi|73995895")</f>
        <v>gi|73995895</v>
      </c>
      <c r="V102">
        <v>244</v>
      </c>
      <c r="W102">
        <v>113</v>
      </c>
      <c r="X102">
        <v>418</v>
      </c>
      <c r="Y102">
        <v>99</v>
      </c>
      <c r="Z102">
        <v>27</v>
      </c>
      <c r="AA102">
        <v>1</v>
      </c>
      <c r="AB102">
        <v>0</v>
      </c>
      <c r="AC102">
        <v>1</v>
      </c>
      <c r="AD102">
        <v>1</v>
      </c>
      <c r="AE102">
        <v>1</v>
      </c>
      <c r="AF102"/>
      <c r="AG102" t="s">
        <v>13</v>
      </c>
      <c r="AH102" t="s">
        <v>51</v>
      </c>
      <c r="AI102" t="s">
        <v>205</v>
      </c>
      <c r="AJ102" t="str">
        <f>HYPERLINK(".\links\SWISSP\TI-315-SWISSP.txt","Tubulin alpha-3 chain OS=Bos taurus GN=TUBA3 PE=2 SV=1")</f>
        <v>Tubulin alpha-3 chain OS=Bos taurus GN=TUBA3 PE=2 SV=1</v>
      </c>
      <c r="AK102" t="str">
        <f>HYPERLINK("http://www.uniprot.org/uniprot/Q32KN8","2E-064")</f>
        <v>2E-064</v>
      </c>
      <c r="AL102" t="s">
        <v>190</v>
      </c>
      <c r="AM102">
        <v>243</v>
      </c>
      <c r="AN102">
        <v>113</v>
      </c>
      <c r="AO102">
        <v>450</v>
      </c>
      <c r="AP102">
        <v>99</v>
      </c>
      <c r="AQ102">
        <v>25</v>
      </c>
      <c r="AR102">
        <v>1</v>
      </c>
      <c r="AS102">
        <v>0</v>
      </c>
      <c r="AT102">
        <v>1</v>
      </c>
      <c r="AU102">
        <v>1</v>
      </c>
      <c r="AV102">
        <v>1</v>
      </c>
      <c r="AW102" t="s">
        <v>64</v>
      </c>
      <c r="AX102" t="str">
        <f>HYPERLINK(".\links\PREV-RHOD-PEP\TI-315-PREV-RHOD-PEP.txt","Contig17942_176")</f>
        <v>Contig17942_176</v>
      </c>
      <c r="AY102" s="3">
        <v>1.9999999999999999E-60</v>
      </c>
      <c r="AZ102" t="s">
        <v>1107</v>
      </c>
      <c r="BA102">
        <v>226</v>
      </c>
      <c r="BB102">
        <v>115</v>
      </c>
      <c r="BC102">
        <v>451</v>
      </c>
      <c r="BD102">
        <v>90</v>
      </c>
      <c r="BE102">
        <v>26</v>
      </c>
      <c r="BF102">
        <v>11</v>
      </c>
      <c r="BG102">
        <v>2</v>
      </c>
      <c r="BH102">
        <v>1</v>
      </c>
      <c r="BI102">
        <v>1</v>
      </c>
      <c r="BJ102">
        <v>1</v>
      </c>
      <c r="BK102" t="s">
        <v>791</v>
      </c>
      <c r="BL102">
        <f>HYPERLINK(".\links\GO\TI-315-GO.txt",5E-65)</f>
        <v>4.9999999999999998E-65</v>
      </c>
      <c r="BM102" t="s">
        <v>792</v>
      </c>
      <c r="BN102" t="s">
        <v>340</v>
      </c>
      <c r="BO102" t="s">
        <v>341</v>
      </c>
      <c r="BP102" t="s">
        <v>793</v>
      </c>
      <c r="BQ102" s="3">
        <v>8.9999999999999995E-65</v>
      </c>
      <c r="BR102" t="s">
        <v>794</v>
      </c>
      <c r="BS102" t="s">
        <v>477</v>
      </c>
      <c r="BT102" t="s">
        <v>477</v>
      </c>
      <c r="BU102" t="s">
        <v>795</v>
      </c>
      <c r="BV102" s="3">
        <v>8.9999999999999995E-65</v>
      </c>
      <c r="BW102" t="s">
        <v>796</v>
      </c>
      <c r="BX102" t="s">
        <v>340</v>
      </c>
      <c r="BY102" t="s">
        <v>341</v>
      </c>
      <c r="BZ102" t="s">
        <v>797</v>
      </c>
      <c r="CA102" s="3">
        <v>8.9999999999999995E-65</v>
      </c>
      <c r="CB102" t="s">
        <v>8</v>
      </c>
      <c r="CC102"/>
      <c r="CD102"/>
      <c r="CE102" t="s">
        <v>8</v>
      </c>
      <c r="CF102"/>
      <c r="CG102"/>
      <c r="CH102" t="s">
        <v>8</v>
      </c>
      <c r="CI102"/>
      <c r="CJ102" t="s">
        <v>8</v>
      </c>
      <c r="CK102"/>
      <c r="CL102" t="s">
        <v>8</v>
      </c>
      <c r="CM102"/>
      <c r="CN102" t="s">
        <v>8</v>
      </c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 t="s">
        <v>8</v>
      </c>
      <c r="DC102"/>
      <c r="DD102"/>
      <c r="DE102"/>
      <c r="DF102"/>
      <c r="DG102"/>
      <c r="DH102"/>
      <c r="DI102"/>
      <c r="DJ102"/>
      <c r="DK102"/>
      <c r="DL102"/>
      <c r="DM102"/>
      <c r="DN102"/>
      <c r="DO102"/>
    </row>
    <row r="103" spans="1:119" s="6" customFormat="1">
      <c r="A103" s="6" t="str">
        <f>HYPERLINK(".\links\pep\TI-310-pep.txt","TI-310")</f>
        <v>TI-310</v>
      </c>
      <c r="B103" s="6">
        <v>310</v>
      </c>
      <c r="C103" s="6" t="s">
        <v>17</v>
      </c>
      <c r="D103" s="6">
        <v>153</v>
      </c>
      <c r="E103" s="6">
        <v>0</v>
      </c>
      <c r="F103" s="6" t="str">
        <f>HYPERLINK(".\links\cds\TI-310-cds.txt","TI-310")</f>
        <v>TI-310</v>
      </c>
      <c r="G103" s="6">
        <v>462</v>
      </c>
      <c r="I103" s="6" t="s">
        <v>8</v>
      </c>
      <c r="J103" s="6" t="s">
        <v>6</v>
      </c>
      <c r="K103" s="6">
        <v>0</v>
      </c>
      <c r="L103" s="6">
        <v>1</v>
      </c>
      <c r="M103" s="6">
        <f t="shared" si="2"/>
        <v>1</v>
      </c>
      <c r="N103" s="6" t="s">
        <v>1170</v>
      </c>
      <c r="O103" s="6" t="s">
        <v>1171</v>
      </c>
      <c r="S103" s="6" t="str">
        <f>HYPERLINK(".\links\NR-LIGHT\TI-310-NR-LIGHT.txt","similar to phenylalanine hydroxylase")</f>
        <v>similar to phenylalanine hydroxylase</v>
      </c>
      <c r="T103" s="6" t="str">
        <f>HYPERLINK("http://www.ncbi.nlm.nih.gov/sutils/blink.cgi?pid=198437597","0.54")</f>
        <v>0.54</v>
      </c>
      <c r="U103" s="6" t="str">
        <f>HYPERLINK("http://www.ncbi.nlm.nih.gov/protein/198437597","gi|198437597")</f>
        <v>gi|198437597</v>
      </c>
      <c r="V103" s="6">
        <v>35.4</v>
      </c>
      <c r="W103" s="6">
        <v>80</v>
      </c>
      <c r="X103" s="6">
        <v>451</v>
      </c>
      <c r="Y103" s="6">
        <v>27</v>
      </c>
      <c r="Z103" s="6">
        <v>18</v>
      </c>
      <c r="AA103" s="6">
        <v>67</v>
      </c>
      <c r="AB103" s="6">
        <v>18</v>
      </c>
      <c r="AC103" s="6">
        <v>68</v>
      </c>
      <c r="AD103" s="6">
        <v>15</v>
      </c>
      <c r="AE103" s="6">
        <v>1</v>
      </c>
      <c r="AG103" s="6" t="s">
        <v>13</v>
      </c>
      <c r="AH103" s="6" t="s">
        <v>51</v>
      </c>
      <c r="AI103" s="6" t="s">
        <v>287</v>
      </c>
      <c r="AJ103" s="6" t="s">
        <v>8</v>
      </c>
      <c r="AX103" s="6" t="str">
        <f>HYPERLINK(".\links\PREV-RHOD-PEP\TI-310-PREV-RHOD-PEP.txt","Contig17969_105")</f>
        <v>Contig17969_105</v>
      </c>
      <c r="AY103" s="8">
        <v>8.0000000000000004E-33</v>
      </c>
      <c r="AZ103" s="6" t="s">
        <v>1104</v>
      </c>
      <c r="BA103" s="6">
        <v>135</v>
      </c>
      <c r="BB103" s="6">
        <v>128</v>
      </c>
      <c r="BC103" s="6">
        <v>354</v>
      </c>
      <c r="BD103" s="6">
        <v>55</v>
      </c>
      <c r="BE103" s="6">
        <v>36</v>
      </c>
      <c r="BF103" s="6">
        <v>57</v>
      </c>
      <c r="BG103" s="6">
        <v>0</v>
      </c>
      <c r="BH103" s="6">
        <v>224</v>
      </c>
      <c r="BI103" s="6">
        <v>25</v>
      </c>
      <c r="BJ103" s="6">
        <v>1</v>
      </c>
      <c r="BK103" s="6" t="s">
        <v>8</v>
      </c>
      <c r="CB103" s="6" t="s">
        <v>8</v>
      </c>
      <c r="CE103" s="6" t="s">
        <v>8</v>
      </c>
      <c r="CH103" s="6" t="s">
        <v>8</v>
      </c>
      <c r="CJ103" s="6" t="s">
        <v>8</v>
      </c>
      <c r="CL103" s="6" t="s">
        <v>8</v>
      </c>
      <c r="CN103" s="6" t="s">
        <v>8</v>
      </c>
      <c r="DB103" s="6" t="s">
        <v>8</v>
      </c>
    </row>
    <row r="104" spans="1:119" s="6" customFormat="1">
      <c r="A104" s="6" t="str">
        <f>HYPERLINK(".\links\pep\TI-308-pep.txt","TI-308")</f>
        <v>TI-308</v>
      </c>
      <c r="B104" s="6">
        <v>308</v>
      </c>
      <c r="C104" s="6" t="s">
        <v>24</v>
      </c>
      <c r="D104" s="6">
        <v>242</v>
      </c>
      <c r="E104" s="6">
        <v>0</v>
      </c>
      <c r="F104" s="6" t="str">
        <f>HYPERLINK(".\links\cds\TI-308-cds.txt","TI-308")</f>
        <v>TI-308</v>
      </c>
      <c r="G104" s="6">
        <v>724</v>
      </c>
      <c r="I104" s="6" t="s">
        <v>8</v>
      </c>
      <c r="J104" s="6" t="s">
        <v>6</v>
      </c>
      <c r="K104" s="6">
        <v>0</v>
      </c>
      <c r="L104" s="6">
        <v>1</v>
      </c>
      <c r="M104" s="6">
        <f t="shared" si="2"/>
        <v>1</v>
      </c>
      <c r="N104" s="6" t="s">
        <v>1170</v>
      </c>
      <c r="O104" s="6" t="s">
        <v>1171</v>
      </c>
      <c r="S104" s="6" t="str">
        <f>HYPERLINK(".\links\NR-LIGHT\TI-308-NR-LIGHT.txt","1-phosphatidylinositol-4-phosphate 5-kinase")</f>
        <v>1-phosphatidylinositol-4-phosphate 5-kinase</v>
      </c>
      <c r="T104" s="6" t="str">
        <f>HYPERLINK("http://www.ncbi.nlm.nih.gov/sutils/blink.cgi?pid=22329482","0.13")</f>
        <v>0.13</v>
      </c>
      <c r="U104" s="6" t="str">
        <f>HYPERLINK("http://www.ncbi.nlm.nih.gov/protein/22329482","gi|22329482")</f>
        <v>gi|22329482</v>
      </c>
      <c r="V104" s="6">
        <v>39.299999999999997</v>
      </c>
      <c r="W104" s="6">
        <v>58</v>
      </c>
      <c r="X104" s="6">
        <v>754</v>
      </c>
      <c r="Y104" s="6">
        <v>40</v>
      </c>
      <c r="Z104" s="6">
        <v>8</v>
      </c>
      <c r="AA104" s="6">
        <v>35</v>
      </c>
      <c r="AB104" s="6">
        <v>9</v>
      </c>
      <c r="AC104" s="6">
        <v>512</v>
      </c>
      <c r="AD104" s="6">
        <v>93</v>
      </c>
      <c r="AE104" s="6">
        <v>1</v>
      </c>
      <c r="AG104" s="6" t="s">
        <v>13</v>
      </c>
      <c r="AH104" s="6" t="s">
        <v>51</v>
      </c>
      <c r="AI104" s="6" t="s">
        <v>291</v>
      </c>
      <c r="AJ104" s="6" t="s">
        <v>8</v>
      </c>
      <c r="AX104" s="6" t="s">
        <v>8</v>
      </c>
      <c r="BK104" s="6" t="s">
        <v>8</v>
      </c>
      <c r="CB104" s="6" t="s">
        <v>8</v>
      </c>
      <c r="CE104" s="6" t="s">
        <v>8</v>
      </c>
      <c r="CH104" s="6" t="s">
        <v>8</v>
      </c>
      <c r="CJ104" s="6" t="s">
        <v>8</v>
      </c>
      <c r="CL104" s="6" t="s">
        <v>8</v>
      </c>
      <c r="CN104" s="6" t="s">
        <v>8</v>
      </c>
      <c r="DB104" s="6" t="s">
        <v>8</v>
      </c>
    </row>
    <row r="105" spans="1:119" s="6" customFormat="1">
      <c r="A105" t="str">
        <f>HYPERLINK(".\links\pep\TI-304-pep.txt","TI-304")</f>
        <v>TI-304</v>
      </c>
      <c r="B105">
        <v>304</v>
      </c>
      <c r="C105" t="s">
        <v>10</v>
      </c>
      <c r="D105">
        <v>77</v>
      </c>
      <c r="E105">
        <v>0</v>
      </c>
      <c r="F105" t="str">
        <f>HYPERLINK(".\links\cds\TI-304-cds.txt","TI-304")</f>
        <v>TI-304</v>
      </c>
      <c r="G105">
        <v>234</v>
      </c>
      <c r="H105"/>
      <c r="I105" t="s">
        <v>8</v>
      </c>
      <c r="J105" t="s">
        <v>6</v>
      </c>
      <c r="K105">
        <v>0</v>
      </c>
      <c r="L105">
        <v>1</v>
      </c>
      <c r="M105">
        <f t="shared" si="2"/>
        <v>1</v>
      </c>
      <c r="N105" t="s">
        <v>1221</v>
      </c>
      <c r="O105" t="s">
        <v>1169</v>
      </c>
      <c r="P105" t="str">
        <f>HYPERLINK(".\links\NR-LIGHT\TI-304-NR-LIGHT.txt","NR-LIGHT")</f>
        <v>NR-LIGHT</v>
      </c>
      <c r="Q105" s="3">
        <v>3.0000000000000001E-26</v>
      </c>
      <c r="R105">
        <v>40.200000000000003</v>
      </c>
      <c r="S105" t="str">
        <f>HYPERLINK(".\links\NR-LIGHT\TI-304-NR-LIGHT.txt","60S ribosomal protein L26")</f>
        <v>60S ribosomal protein L26</v>
      </c>
      <c r="T105" t="str">
        <f>HYPERLINK("http://www.ncbi.nlm.nih.gov/sutils/blink.cgi?pid=149689146","3E-026")</f>
        <v>3E-026</v>
      </c>
      <c r="U105" t="str">
        <f>HYPERLINK("http://www.ncbi.nlm.nih.gov/protein/149689146","gi|149689146")</f>
        <v>gi|149689146</v>
      </c>
      <c r="V105">
        <v>119</v>
      </c>
      <c r="W105">
        <v>59</v>
      </c>
      <c r="X105">
        <v>149</v>
      </c>
      <c r="Y105">
        <v>95</v>
      </c>
      <c r="Z105">
        <v>40</v>
      </c>
      <c r="AA105">
        <v>3</v>
      </c>
      <c r="AB105">
        <v>0</v>
      </c>
      <c r="AC105">
        <v>6</v>
      </c>
      <c r="AD105">
        <v>18</v>
      </c>
      <c r="AE105">
        <v>1</v>
      </c>
      <c r="AF105"/>
      <c r="AG105" t="s">
        <v>13</v>
      </c>
      <c r="AH105" t="s">
        <v>51</v>
      </c>
      <c r="AI105" t="s">
        <v>273</v>
      </c>
      <c r="AJ105" t="str">
        <f>HYPERLINK(".\links\SWISSP\TI-304-SWISSP.txt","60S ribosomal protein L26 OS=Rattus norvegicus GN=Rpl26 PE=1 SV=1")</f>
        <v>60S ribosomal protein L26 OS=Rattus norvegicus GN=Rpl26 PE=1 SV=1</v>
      </c>
      <c r="AK105" t="str">
        <f>HYPERLINK("http://www.uniprot.org/uniprot/P12749","5E-023")</f>
        <v>5E-023</v>
      </c>
      <c r="AL105" t="s">
        <v>183</v>
      </c>
      <c r="AM105">
        <v>106</v>
      </c>
      <c r="AN105">
        <v>59</v>
      </c>
      <c r="AO105">
        <v>145</v>
      </c>
      <c r="AP105">
        <v>80</v>
      </c>
      <c r="AQ105">
        <v>41</v>
      </c>
      <c r="AR105">
        <v>12</v>
      </c>
      <c r="AS105">
        <v>0</v>
      </c>
      <c r="AT105">
        <v>6</v>
      </c>
      <c r="AU105">
        <v>18</v>
      </c>
      <c r="AV105">
        <v>1</v>
      </c>
      <c r="AW105" t="s">
        <v>74</v>
      </c>
      <c r="AX105" t="str">
        <f>HYPERLINK(".\links\PREV-RHOD-PEP\TI-304-PREV-RHOD-PEP.txt","Contig17918_17")</f>
        <v>Contig17918_17</v>
      </c>
      <c r="AY105" s="3">
        <v>3.9999999999999999E-28</v>
      </c>
      <c r="AZ105" t="s">
        <v>1103</v>
      </c>
      <c r="BA105">
        <v>119</v>
      </c>
      <c r="BB105">
        <v>59</v>
      </c>
      <c r="BC105">
        <v>149</v>
      </c>
      <c r="BD105">
        <v>95</v>
      </c>
      <c r="BE105">
        <v>40</v>
      </c>
      <c r="BF105">
        <v>3</v>
      </c>
      <c r="BG105">
        <v>0</v>
      </c>
      <c r="BH105">
        <v>6</v>
      </c>
      <c r="BI105">
        <v>18</v>
      </c>
      <c r="BJ105">
        <v>1</v>
      </c>
      <c r="BK105" t="s">
        <v>785</v>
      </c>
      <c r="BL105">
        <f>HYPERLINK(".\links\GO\TI-304-GO.txt",8E-24)</f>
        <v>7.9999999999999994E-24</v>
      </c>
      <c r="BM105" t="s">
        <v>329</v>
      </c>
      <c r="BN105" t="s">
        <v>330</v>
      </c>
      <c r="BO105" t="s">
        <v>331</v>
      </c>
      <c r="BP105" t="s">
        <v>332</v>
      </c>
      <c r="BQ105" s="3">
        <v>7.9999999999999994E-24</v>
      </c>
      <c r="BR105" t="s">
        <v>333</v>
      </c>
      <c r="BS105" t="s">
        <v>323</v>
      </c>
      <c r="BT105" t="s">
        <v>334</v>
      </c>
      <c r="BU105" t="s">
        <v>335</v>
      </c>
      <c r="BV105" s="3">
        <v>7.9999999999999994E-24</v>
      </c>
      <c r="BW105" t="s">
        <v>336</v>
      </c>
      <c r="BX105" t="s">
        <v>330</v>
      </c>
      <c r="BY105" t="s">
        <v>331</v>
      </c>
      <c r="BZ105" t="s">
        <v>337</v>
      </c>
      <c r="CA105" s="3">
        <v>7.9999999999999994E-24</v>
      </c>
      <c r="CB105" t="s">
        <v>8</v>
      </c>
      <c r="CC105"/>
      <c r="CD105"/>
      <c r="CE105" t="s">
        <v>8</v>
      </c>
      <c r="CF105"/>
      <c r="CG105"/>
      <c r="CH105" t="s">
        <v>8</v>
      </c>
      <c r="CI105"/>
      <c r="CJ105" t="s">
        <v>8</v>
      </c>
      <c r="CK105"/>
      <c r="CL105" t="s">
        <v>8</v>
      </c>
      <c r="CM105"/>
      <c r="CN105" t="s">
        <v>8</v>
      </c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 t="s">
        <v>8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s="6" customFormat="1">
      <c r="A106" s="6" t="str">
        <f>HYPERLINK(".\links\pep\TI-303-pep.txt","TI-303")</f>
        <v>TI-303</v>
      </c>
      <c r="B106" s="6">
        <v>303</v>
      </c>
      <c r="C106" s="6" t="s">
        <v>23</v>
      </c>
      <c r="D106" s="6">
        <v>21</v>
      </c>
      <c r="E106" s="6">
        <v>0</v>
      </c>
      <c r="F106" s="6" t="str">
        <f>HYPERLINK(".\links\cds\TI-303-cds.txt","TI-303")</f>
        <v>TI-303</v>
      </c>
      <c r="G106" s="6">
        <v>66</v>
      </c>
      <c r="I106" s="6" t="s">
        <v>8</v>
      </c>
      <c r="J106" s="6" t="s">
        <v>6</v>
      </c>
      <c r="K106" s="6">
        <v>0</v>
      </c>
      <c r="L106" s="6">
        <v>1</v>
      </c>
      <c r="M106" s="6">
        <f t="shared" si="2"/>
        <v>1</v>
      </c>
      <c r="N106" s="6" t="s">
        <v>1170</v>
      </c>
      <c r="O106" s="6" t="s">
        <v>1171</v>
      </c>
      <c r="S106" s="6" t="s">
        <v>8</v>
      </c>
      <c r="AJ106" s="6" t="s">
        <v>8</v>
      </c>
      <c r="AX106" s="6" t="s">
        <v>8</v>
      </c>
      <c r="BK106" s="6" t="s">
        <v>8</v>
      </c>
      <c r="CB106" s="6" t="s">
        <v>8</v>
      </c>
      <c r="CE106" s="6" t="s">
        <v>8</v>
      </c>
      <c r="CH106" s="6" t="s">
        <v>8</v>
      </c>
      <c r="CJ106" s="6" t="s">
        <v>8</v>
      </c>
      <c r="CL106" s="6" t="s">
        <v>8</v>
      </c>
      <c r="CN106" s="6" t="s">
        <v>8</v>
      </c>
      <c r="DB106" s="6" t="s">
        <v>8</v>
      </c>
    </row>
    <row r="107" spans="1:119" s="6" customFormat="1">
      <c r="A107" t="str">
        <f>HYPERLINK(".\links\pep\TI-302-pep.txt","TI-302")</f>
        <v>TI-302</v>
      </c>
      <c r="B107">
        <v>302</v>
      </c>
      <c r="C107" t="s">
        <v>7</v>
      </c>
      <c r="D107">
        <v>67</v>
      </c>
      <c r="E107">
        <v>0</v>
      </c>
      <c r="F107" t="str">
        <f>HYPERLINK(".\links\cds\TI-302-cds.txt","TI-302")</f>
        <v>TI-302</v>
      </c>
      <c r="G107">
        <v>204</v>
      </c>
      <c r="H107"/>
      <c r="I107" t="s">
        <v>29</v>
      </c>
      <c r="J107" t="s">
        <v>6</v>
      </c>
      <c r="K107">
        <v>0</v>
      </c>
      <c r="L107">
        <v>1</v>
      </c>
      <c r="M107">
        <f t="shared" si="2"/>
        <v>1</v>
      </c>
      <c r="N107" t="s">
        <v>1220</v>
      </c>
      <c r="O107" t="s">
        <v>1169</v>
      </c>
      <c r="P107" t="str">
        <f>HYPERLINK(".\links\GO\TI-302-GO.txt","GO")</f>
        <v>GO</v>
      </c>
      <c r="Q107" s="3">
        <v>6.0000000000000006E-20</v>
      </c>
      <c r="R107">
        <v>100</v>
      </c>
      <c r="S107" t="str">
        <f>HYPERLINK(".\links\NR-LIGHT\TI-302-NR-LIGHT.txt","mitochondrial ribosomal protein, L33")</f>
        <v>mitochondrial ribosomal protein, L33</v>
      </c>
      <c r="T107" t="str">
        <f>HYPERLINK("http://www.ncbi.nlm.nih.gov/sutils/blink.cgi?pid=170044531","1E-019")</f>
        <v>1E-019</v>
      </c>
      <c r="U107" t="str">
        <f>HYPERLINK("http://www.ncbi.nlm.nih.gov/protein/170044531","gi|170044531")</f>
        <v>gi|170044531</v>
      </c>
      <c r="V107">
        <v>97.1</v>
      </c>
      <c r="W107">
        <v>63</v>
      </c>
      <c r="X107">
        <v>65</v>
      </c>
      <c r="Y107">
        <v>67</v>
      </c>
      <c r="Z107">
        <v>98</v>
      </c>
      <c r="AA107">
        <v>21</v>
      </c>
      <c r="AB107">
        <v>1</v>
      </c>
      <c r="AC107">
        <v>1</v>
      </c>
      <c r="AD107">
        <v>1</v>
      </c>
      <c r="AE107">
        <v>1</v>
      </c>
      <c r="AF107"/>
      <c r="AG107" t="s">
        <v>13</v>
      </c>
      <c r="AH107" t="s">
        <v>51</v>
      </c>
      <c r="AI107" t="s">
        <v>263</v>
      </c>
      <c r="AJ107" t="str">
        <f>HYPERLINK(".\links\SWISSP\TI-302-SWISSP.txt","39S ribosomal protein L33, mitochondrial OS=Drosophila melanogaster GN=mRpL33")</f>
        <v>39S ribosomal protein L33, mitochondrial OS=Drosophila melanogaster GN=mRpL33</v>
      </c>
      <c r="AK107" t="str">
        <f>HYPERLINK("http://www.uniprot.org/uniprot/Q9W4L1","3E-019")</f>
        <v>3E-019</v>
      </c>
      <c r="AL107" t="s">
        <v>182</v>
      </c>
      <c r="AM107">
        <v>93.6</v>
      </c>
      <c r="AN107">
        <v>62</v>
      </c>
      <c r="AO107">
        <v>64</v>
      </c>
      <c r="AP107">
        <v>70</v>
      </c>
      <c r="AQ107">
        <v>98</v>
      </c>
      <c r="AR107">
        <v>19</v>
      </c>
      <c r="AS107">
        <v>1</v>
      </c>
      <c r="AT107">
        <v>1</v>
      </c>
      <c r="AU107">
        <v>1</v>
      </c>
      <c r="AV107">
        <v>1</v>
      </c>
      <c r="AW107" t="s">
        <v>52</v>
      </c>
      <c r="AX107" t="s">
        <v>8</v>
      </c>
      <c r="AY107"/>
      <c r="AZ107"/>
      <c r="BA107"/>
      <c r="BB107"/>
      <c r="BC107"/>
      <c r="BD107"/>
      <c r="BE107"/>
      <c r="BF107"/>
      <c r="BG107"/>
      <c r="BH107"/>
      <c r="BI107"/>
      <c r="BJ107"/>
      <c r="BK107" t="s">
        <v>780</v>
      </c>
      <c r="BL107">
        <f>HYPERLINK(".\links\GO\TI-302-GO.txt",6E-20)</f>
        <v>6.0000000000000006E-20</v>
      </c>
      <c r="BM107" t="s">
        <v>329</v>
      </c>
      <c r="BN107" t="s">
        <v>330</v>
      </c>
      <c r="BO107" t="s">
        <v>331</v>
      </c>
      <c r="BP107" t="s">
        <v>332</v>
      </c>
      <c r="BQ107" s="3">
        <v>6.0000000000000006E-20</v>
      </c>
      <c r="BR107" t="s">
        <v>781</v>
      </c>
      <c r="BS107" t="s">
        <v>782</v>
      </c>
      <c r="BT107" t="s">
        <v>783</v>
      </c>
      <c r="BU107" t="s">
        <v>784</v>
      </c>
      <c r="BV107" s="3">
        <v>6.0000000000000006E-20</v>
      </c>
      <c r="BW107" t="s">
        <v>336</v>
      </c>
      <c r="BX107" t="s">
        <v>330</v>
      </c>
      <c r="BY107" t="s">
        <v>331</v>
      </c>
      <c r="BZ107" t="s">
        <v>337</v>
      </c>
      <c r="CA107" s="3">
        <v>6.0000000000000006E-20</v>
      </c>
      <c r="CB107" t="s">
        <v>8</v>
      </c>
      <c r="CC107"/>
      <c r="CD107"/>
      <c r="CE107" t="s">
        <v>8</v>
      </c>
      <c r="CF107"/>
      <c r="CG107"/>
      <c r="CH107" t="s">
        <v>8</v>
      </c>
      <c r="CI107"/>
      <c r="CJ107" t="s">
        <v>8</v>
      </c>
      <c r="CK107"/>
      <c r="CL107" t="s">
        <v>8</v>
      </c>
      <c r="CM107"/>
      <c r="CN107" t="s">
        <v>8</v>
      </c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 t="s">
        <v>8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</row>
    <row r="108" spans="1:119" s="6" customFormat="1">
      <c r="A108" t="str">
        <f>HYPERLINK(".\links\pep\TI-300-pep.txt","TI-300")</f>
        <v>TI-300</v>
      </c>
      <c r="B108">
        <v>300</v>
      </c>
      <c r="C108" t="s">
        <v>19</v>
      </c>
      <c r="D108">
        <v>209</v>
      </c>
      <c r="E108" s="2">
        <v>3.8277510000000001</v>
      </c>
      <c r="F108" t="str">
        <f>HYPERLINK(".\links\cds\TI-300-cds.txt","TI-300")</f>
        <v>TI-300</v>
      </c>
      <c r="G108">
        <v>625</v>
      </c>
      <c r="H108"/>
      <c r="I108" t="s">
        <v>8</v>
      </c>
      <c r="J108" t="s">
        <v>8</v>
      </c>
      <c r="K108">
        <v>0</v>
      </c>
      <c r="L108">
        <v>1</v>
      </c>
      <c r="M108">
        <f t="shared" si="2"/>
        <v>1</v>
      </c>
      <c r="N108" t="s">
        <v>1310</v>
      </c>
      <c r="O108" t="s">
        <v>1208</v>
      </c>
      <c r="P108" t="str">
        <f>HYPERLINK(".\links\NR-LIGHT\TI-300-NR-LIGHT.txt","NR-LIGHT")</f>
        <v>NR-LIGHT</v>
      </c>
      <c r="Q108" s="3">
        <v>9.9999999999999996E-70</v>
      </c>
      <c r="R108">
        <v>14.1</v>
      </c>
      <c r="S108" t="str">
        <f>HYPERLINK(".\links\NR-LIGHT\TI-300-NR-LIGHT.txt","hypothetical protein TcasGA2_TC006551")</f>
        <v>hypothetical protein TcasGA2_TC006551</v>
      </c>
      <c r="T108" t="str">
        <f>HYPERLINK("http://www.ncbi.nlm.nih.gov/sutils/blink.cgi?pid=270012402","1E-069")</f>
        <v>1E-069</v>
      </c>
      <c r="U108" t="str">
        <f>HYPERLINK("http://www.ncbi.nlm.nih.gov/protein/270012402","gi|270012402")</f>
        <v>gi|270012402</v>
      </c>
      <c r="V108">
        <v>264</v>
      </c>
      <c r="W108">
        <v>209</v>
      </c>
      <c r="X108">
        <v>1455</v>
      </c>
      <c r="Y108">
        <v>60</v>
      </c>
      <c r="Z108">
        <v>14</v>
      </c>
      <c r="AA108">
        <v>84</v>
      </c>
      <c r="AB108">
        <v>1</v>
      </c>
      <c r="AC108">
        <v>1193</v>
      </c>
      <c r="AD108">
        <v>1</v>
      </c>
      <c r="AE108">
        <v>1</v>
      </c>
      <c r="AF108"/>
      <c r="AG108" t="s">
        <v>13</v>
      </c>
      <c r="AH108" t="s">
        <v>51</v>
      </c>
      <c r="AI108" t="s">
        <v>266</v>
      </c>
      <c r="AJ108" t="str">
        <f>HYPERLINK(".\links\SWISSP\TI-300-SWISSP.txt","Inactive rhomboid protein 1 OS=Danio rerio GN=rhbdf1 PE=2 SV=1")</f>
        <v>Inactive rhomboid protein 1 OS=Danio rerio GN=rhbdf1 PE=2 SV=1</v>
      </c>
      <c r="AK108" t="str">
        <f>HYPERLINK("http://www.uniprot.org/uniprot/Q6GMF8","1E-050")</f>
        <v>1E-050</v>
      </c>
      <c r="AL108" t="s">
        <v>84</v>
      </c>
      <c r="AM108">
        <v>199</v>
      </c>
      <c r="AN108">
        <v>211</v>
      </c>
      <c r="AO108">
        <v>857</v>
      </c>
      <c r="AP108">
        <v>46</v>
      </c>
      <c r="AQ108">
        <v>25</v>
      </c>
      <c r="AR108">
        <v>114</v>
      </c>
      <c r="AS108">
        <v>6</v>
      </c>
      <c r="AT108">
        <v>600</v>
      </c>
      <c r="AU108">
        <v>1</v>
      </c>
      <c r="AV108">
        <v>1</v>
      </c>
      <c r="AW108" t="s">
        <v>85</v>
      </c>
      <c r="AX108" t="str">
        <f>HYPERLINK(".\links\PREV-RHOD-PEP\TI-300-PREV-RHOD-PEP.txt","Contig17523_36")</f>
        <v>Contig17523_36</v>
      </c>
      <c r="AY108" s="3">
        <v>4.9999999999999999E-49</v>
      </c>
      <c r="AZ108" t="s">
        <v>1007</v>
      </c>
      <c r="BA108">
        <v>189</v>
      </c>
      <c r="BB108">
        <v>105</v>
      </c>
      <c r="BC108">
        <v>690</v>
      </c>
      <c r="BD108">
        <v>83</v>
      </c>
      <c r="BE108">
        <v>15</v>
      </c>
      <c r="BF108">
        <v>17</v>
      </c>
      <c r="BG108">
        <v>1</v>
      </c>
      <c r="BH108">
        <v>570</v>
      </c>
      <c r="BI108">
        <v>1</v>
      </c>
      <c r="BJ108">
        <v>1</v>
      </c>
      <c r="BK108" t="s">
        <v>435</v>
      </c>
      <c r="BL108">
        <f>HYPERLINK(".\links\GO\TI-300-GO.txt",3E-51)</f>
        <v>3E-51</v>
      </c>
      <c r="BM108" t="s">
        <v>436</v>
      </c>
      <c r="BN108" t="s">
        <v>345</v>
      </c>
      <c r="BO108" t="s">
        <v>349</v>
      </c>
      <c r="BP108" t="s">
        <v>437</v>
      </c>
      <c r="BQ108">
        <v>1E-4</v>
      </c>
      <c r="BR108" t="s">
        <v>438</v>
      </c>
      <c r="BS108" t="s">
        <v>323</v>
      </c>
      <c r="BT108" t="s">
        <v>324</v>
      </c>
      <c r="BU108" t="s">
        <v>439</v>
      </c>
      <c r="BV108">
        <v>1E-4</v>
      </c>
      <c r="BW108" t="s">
        <v>440</v>
      </c>
      <c r="BX108" t="s">
        <v>345</v>
      </c>
      <c r="BY108" t="s">
        <v>349</v>
      </c>
      <c r="BZ108" t="s">
        <v>441</v>
      </c>
      <c r="CA108">
        <v>1E-4</v>
      </c>
      <c r="CB108" t="s">
        <v>8</v>
      </c>
      <c r="CC108"/>
      <c r="CD108"/>
      <c r="CE108" t="s">
        <v>8</v>
      </c>
      <c r="CF108"/>
      <c r="CG108"/>
      <c r="CH108" t="s">
        <v>8</v>
      </c>
      <c r="CI108"/>
      <c r="CJ108" t="s">
        <v>8</v>
      </c>
      <c r="CK108"/>
      <c r="CL108" t="s">
        <v>8</v>
      </c>
      <c r="CM108"/>
      <c r="CN108" t="s">
        <v>8</v>
      </c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 t="s">
        <v>8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</row>
    <row r="109" spans="1:119" s="6" customFormat="1">
      <c r="A109" s="6" t="str">
        <f>HYPERLINK(".\links\pep\TI-294-pep.txt","TI-294")</f>
        <v>TI-294</v>
      </c>
      <c r="B109" s="6">
        <v>294</v>
      </c>
      <c r="C109" s="6" t="s">
        <v>10</v>
      </c>
      <c r="D109" s="6">
        <v>18</v>
      </c>
      <c r="E109" s="6">
        <v>0</v>
      </c>
      <c r="F109" s="6" t="str">
        <f>HYPERLINK(".\links\cds\TI-294-cds.txt","TI-294")</f>
        <v>TI-294</v>
      </c>
      <c r="G109" s="6">
        <v>54</v>
      </c>
      <c r="I109" s="6" t="s">
        <v>8</v>
      </c>
      <c r="J109" s="6" t="s">
        <v>8</v>
      </c>
      <c r="K109" s="6">
        <v>0</v>
      </c>
      <c r="L109" s="6">
        <v>1</v>
      </c>
      <c r="M109" s="6">
        <f t="shared" si="2"/>
        <v>1</v>
      </c>
      <c r="N109" s="6" t="s">
        <v>1170</v>
      </c>
      <c r="O109" s="6" t="s">
        <v>1171</v>
      </c>
      <c r="S109" s="6" t="s">
        <v>8</v>
      </c>
      <c r="AJ109" s="6" t="s">
        <v>8</v>
      </c>
      <c r="AX109" s="6" t="s">
        <v>8</v>
      </c>
      <c r="BK109" s="6" t="s">
        <v>8</v>
      </c>
      <c r="CB109" s="6" t="s">
        <v>8</v>
      </c>
      <c r="CE109" s="6" t="s">
        <v>8</v>
      </c>
      <c r="CH109" s="6" t="s">
        <v>8</v>
      </c>
      <c r="CJ109" s="6" t="s">
        <v>8</v>
      </c>
      <c r="CL109" s="6" t="s">
        <v>8</v>
      </c>
      <c r="CN109" s="6" t="s">
        <v>8</v>
      </c>
      <c r="DB109" s="6" t="s">
        <v>8</v>
      </c>
    </row>
    <row r="110" spans="1:119" s="6" customFormat="1">
      <c r="A110" s="6" t="str">
        <f>HYPERLINK(".\links\pep\TI-293-pep.txt","TI-293")</f>
        <v>TI-293</v>
      </c>
      <c r="B110" s="6">
        <v>293</v>
      </c>
      <c r="C110" s="6" t="s">
        <v>15</v>
      </c>
      <c r="D110" s="6">
        <v>166</v>
      </c>
      <c r="E110" s="6">
        <v>0</v>
      </c>
      <c r="F110" s="6" t="str">
        <f>HYPERLINK(".\links\cds\TI-293-cds.txt","TI-293")</f>
        <v>TI-293</v>
      </c>
      <c r="G110" s="6">
        <v>501</v>
      </c>
      <c r="I110" s="6" t="s">
        <v>8</v>
      </c>
      <c r="J110" s="6" t="s">
        <v>6</v>
      </c>
      <c r="K110" s="6">
        <v>0</v>
      </c>
      <c r="L110" s="6">
        <v>1</v>
      </c>
      <c r="M110" s="6">
        <f t="shared" si="2"/>
        <v>1</v>
      </c>
      <c r="N110" s="6" t="s">
        <v>1170</v>
      </c>
      <c r="O110" s="6" t="s">
        <v>1171</v>
      </c>
      <c r="S110" s="6" t="s">
        <v>8</v>
      </c>
      <c r="AJ110" s="6" t="s">
        <v>8</v>
      </c>
      <c r="AX110" s="6" t="str">
        <f>HYPERLINK(".\links\PREV-RHOD-PEP\TI-293-PREV-RHOD-PEP.txt","Contig17357_20")</f>
        <v>Contig17357_20</v>
      </c>
      <c r="AY110" s="8">
        <v>3.9999999999999997E-24</v>
      </c>
      <c r="AZ110" s="6" t="s">
        <v>1100</v>
      </c>
      <c r="BA110" s="6">
        <v>106</v>
      </c>
      <c r="BB110" s="6">
        <v>95</v>
      </c>
      <c r="BC110" s="6">
        <v>1136</v>
      </c>
      <c r="BD110" s="6">
        <v>59</v>
      </c>
      <c r="BE110" s="6">
        <v>8</v>
      </c>
      <c r="BF110" s="6">
        <v>39</v>
      </c>
      <c r="BG110" s="6">
        <v>1</v>
      </c>
      <c r="BH110" s="6">
        <v>1041</v>
      </c>
      <c r="BI110" s="6">
        <v>72</v>
      </c>
      <c r="BJ110" s="6">
        <v>1</v>
      </c>
      <c r="BK110" s="6" t="s">
        <v>8</v>
      </c>
      <c r="CB110" s="6" t="s">
        <v>8</v>
      </c>
      <c r="CE110" s="6" t="s">
        <v>8</v>
      </c>
      <c r="CH110" s="6" t="s">
        <v>8</v>
      </c>
      <c r="CJ110" s="6" t="s">
        <v>8</v>
      </c>
      <c r="CL110" s="6" t="s">
        <v>8</v>
      </c>
      <c r="CN110" s="6" t="s">
        <v>8</v>
      </c>
      <c r="DB110" s="6" t="s">
        <v>8</v>
      </c>
    </row>
    <row r="111" spans="1:119" s="6" customFormat="1">
      <c r="A111" t="str">
        <f>HYPERLINK(".\links\pep\TI-292-pep.txt","TI-292")</f>
        <v>TI-292</v>
      </c>
      <c r="B111">
        <v>292</v>
      </c>
      <c r="C111" t="s">
        <v>19</v>
      </c>
      <c r="D111">
        <v>201</v>
      </c>
      <c r="E111">
        <v>0</v>
      </c>
      <c r="F111" t="str">
        <f>HYPERLINK(".\links\cds\TI-292-cds.txt","TI-292")</f>
        <v>TI-292</v>
      </c>
      <c r="G111">
        <v>606</v>
      </c>
      <c r="H111"/>
      <c r="I111" t="s">
        <v>8</v>
      </c>
      <c r="J111" t="s">
        <v>6</v>
      </c>
      <c r="K111">
        <v>0</v>
      </c>
      <c r="L111">
        <v>1</v>
      </c>
      <c r="M111">
        <f t="shared" si="2"/>
        <v>1</v>
      </c>
      <c r="N111" t="s">
        <v>1308</v>
      </c>
      <c r="O111" t="s">
        <v>1190</v>
      </c>
      <c r="P111" t="str">
        <f>HYPERLINK(".\links\NR-LIGHT\TI-292-NR-LIGHT.txt","NR-LIGHT")</f>
        <v>NR-LIGHT</v>
      </c>
      <c r="Q111" s="3">
        <v>2.0000000000000001E-89</v>
      </c>
      <c r="R111">
        <v>93.4</v>
      </c>
      <c r="S111" t="str">
        <f>HYPERLINK(".\links\NR-LIGHT\TI-292-NR-LIGHT.txt","vacuolar protein sorting-associated protein 28 homolog")</f>
        <v>vacuolar protein sorting-associated protein 28 homolog</v>
      </c>
      <c r="T111" t="str">
        <f>HYPERLINK("http://www.ncbi.nlm.nih.gov/sutils/blink.cgi?pid=66506589","2E-089")</f>
        <v>2E-089</v>
      </c>
      <c r="U111" t="str">
        <f>HYPERLINK("http://www.ncbi.nlm.nih.gov/protein/66506589","gi|66506589")</f>
        <v>gi|66506589</v>
      </c>
      <c r="V111">
        <v>330</v>
      </c>
      <c r="W111">
        <v>198</v>
      </c>
      <c r="X111">
        <v>213</v>
      </c>
      <c r="Y111">
        <v>77</v>
      </c>
      <c r="Z111">
        <v>93</v>
      </c>
      <c r="AA111">
        <v>44</v>
      </c>
      <c r="AB111">
        <v>0</v>
      </c>
      <c r="AC111">
        <v>15</v>
      </c>
      <c r="AD111">
        <v>3</v>
      </c>
      <c r="AE111">
        <v>1</v>
      </c>
      <c r="AF111"/>
      <c r="AG111" t="s">
        <v>13</v>
      </c>
      <c r="AH111" t="s">
        <v>51</v>
      </c>
      <c r="AI111" t="s">
        <v>83</v>
      </c>
      <c r="AJ111" t="str">
        <f>HYPERLINK(".\links\SWISSP\TI-292-SWISSP.txt","Vacuolar protein sorting-associated protein 28 homolog OS=Mus musculus GN=Vps28")</f>
        <v>Vacuolar protein sorting-associated protein 28 homolog OS=Mus musculus GN=Vps28</v>
      </c>
      <c r="AK111" t="str">
        <f>HYPERLINK("http://www.uniprot.org/uniprot/Q9D1C8","1E-081")</f>
        <v>1E-081</v>
      </c>
      <c r="AL111" t="s">
        <v>179</v>
      </c>
      <c r="AM111">
        <v>301</v>
      </c>
      <c r="AN111">
        <v>195</v>
      </c>
      <c r="AO111">
        <v>221</v>
      </c>
      <c r="AP111">
        <v>71</v>
      </c>
      <c r="AQ111">
        <v>89</v>
      </c>
      <c r="AR111">
        <v>56</v>
      </c>
      <c r="AS111">
        <v>0</v>
      </c>
      <c r="AT111">
        <v>25</v>
      </c>
      <c r="AU111">
        <v>3</v>
      </c>
      <c r="AV111">
        <v>1</v>
      </c>
      <c r="AW111" t="s">
        <v>87</v>
      </c>
      <c r="AX111" t="str">
        <f>HYPERLINK(".\links\PREV-RHOD-PEP\TI-292-PREV-RHOD-PEP.txt","Contig3111_5")</f>
        <v>Contig3111_5</v>
      </c>
      <c r="AY111" s="3">
        <v>1.0000000000000001E-110</v>
      </c>
      <c r="AZ111" t="s">
        <v>1099</v>
      </c>
      <c r="BA111">
        <v>391</v>
      </c>
      <c r="BB111">
        <v>198</v>
      </c>
      <c r="BC111">
        <v>214</v>
      </c>
      <c r="BD111">
        <v>95</v>
      </c>
      <c r="BE111">
        <v>93</v>
      </c>
      <c r="BF111">
        <v>8</v>
      </c>
      <c r="BG111">
        <v>0</v>
      </c>
      <c r="BH111">
        <v>16</v>
      </c>
      <c r="BI111">
        <v>3</v>
      </c>
      <c r="BJ111">
        <v>1</v>
      </c>
      <c r="BK111" t="s">
        <v>771</v>
      </c>
      <c r="BL111">
        <f>HYPERLINK(".\links\GO\TI-292-GO.txt",3E-82)</f>
        <v>2.9999999999999999E-82</v>
      </c>
      <c r="BM111" t="s">
        <v>339</v>
      </c>
      <c r="BN111" t="s">
        <v>340</v>
      </c>
      <c r="BO111" t="s">
        <v>341</v>
      </c>
      <c r="BP111" t="s">
        <v>342</v>
      </c>
      <c r="BQ111" s="3">
        <v>2.9999999999999999E-82</v>
      </c>
      <c r="BR111" t="s">
        <v>356</v>
      </c>
      <c r="BS111" t="s">
        <v>323</v>
      </c>
      <c r="BT111" t="s">
        <v>334</v>
      </c>
      <c r="BU111" t="s">
        <v>357</v>
      </c>
      <c r="BV111" s="3">
        <v>2.9999999999999999E-82</v>
      </c>
      <c r="BW111" t="s">
        <v>772</v>
      </c>
      <c r="BX111" t="s">
        <v>340</v>
      </c>
      <c r="BY111" t="s">
        <v>341</v>
      </c>
      <c r="BZ111" t="s">
        <v>773</v>
      </c>
      <c r="CA111" s="3">
        <v>2.9999999999999999E-82</v>
      </c>
      <c r="CB111" t="s">
        <v>8</v>
      </c>
      <c r="CC111"/>
      <c r="CD111"/>
      <c r="CE111" t="s">
        <v>8</v>
      </c>
      <c r="CF111"/>
      <c r="CG111"/>
      <c r="CH111" t="s">
        <v>8</v>
      </c>
      <c r="CI111"/>
      <c r="CJ111" t="s">
        <v>8</v>
      </c>
      <c r="CK111"/>
      <c r="CL111" t="s">
        <v>8</v>
      </c>
      <c r="CM111"/>
      <c r="CN111" t="s">
        <v>8</v>
      </c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 t="s">
        <v>8</v>
      </c>
      <c r="DC111"/>
      <c r="DD111"/>
      <c r="DE111"/>
      <c r="DF111"/>
      <c r="DG111"/>
      <c r="DH111"/>
      <c r="DI111"/>
      <c r="DJ111"/>
      <c r="DK111"/>
      <c r="DL111"/>
      <c r="DM111"/>
      <c r="DN111"/>
      <c r="DO111"/>
    </row>
    <row r="112" spans="1:119" s="6" customFormat="1">
      <c r="A112" t="str">
        <f>HYPERLINK(".\links\pep\TI-291-pep.txt","TI-291")</f>
        <v>TI-291</v>
      </c>
      <c r="B112">
        <v>291</v>
      </c>
      <c r="C112" t="s">
        <v>25</v>
      </c>
      <c r="D112">
        <v>172</v>
      </c>
      <c r="E112" s="2">
        <v>2.3255810000000001</v>
      </c>
      <c r="F112" t="str">
        <f>HYPERLINK(".\links\cds\TI-291-cds.txt","TI-291")</f>
        <v>TI-291</v>
      </c>
      <c r="G112">
        <v>519</v>
      </c>
      <c r="H112"/>
      <c r="I112" t="s">
        <v>8</v>
      </c>
      <c r="J112" t="s">
        <v>6</v>
      </c>
      <c r="K112">
        <v>0</v>
      </c>
      <c r="L112">
        <v>1</v>
      </c>
      <c r="M112">
        <f t="shared" si="2"/>
        <v>1</v>
      </c>
      <c r="N112" t="s">
        <v>1218</v>
      </c>
      <c r="O112" t="s">
        <v>1178</v>
      </c>
      <c r="P112" t="str">
        <f>HYPERLINK(".\links\NR-LIGHT\TI-291-NR-LIGHT.txt","NR-LIGHT")</f>
        <v>NR-LIGHT</v>
      </c>
      <c r="Q112" s="3">
        <v>7.0000000000000002E-59</v>
      </c>
      <c r="R112">
        <v>21.3</v>
      </c>
      <c r="S112" t="str">
        <f>HYPERLINK(".\links\NR-LIGHT\TI-291-NR-LIGHT.txt","similar to ENSANGP00000001286")</f>
        <v>similar to ENSANGP00000001286</v>
      </c>
      <c r="T112" t="str">
        <f>HYPERLINK("http://www.ncbi.nlm.nih.gov/sutils/blink.cgi?pid=156554871","7E-059")</f>
        <v>7E-059</v>
      </c>
      <c r="U112" t="str">
        <f>HYPERLINK("http://www.ncbi.nlm.nih.gov/protein/156554871","gi|156554871")</f>
        <v>gi|156554871</v>
      </c>
      <c r="V112">
        <v>228</v>
      </c>
      <c r="W112">
        <v>168</v>
      </c>
      <c r="X112">
        <v>790</v>
      </c>
      <c r="Y112">
        <v>69</v>
      </c>
      <c r="Z112">
        <v>21</v>
      </c>
      <c r="AA112">
        <v>51</v>
      </c>
      <c r="AB112">
        <v>0</v>
      </c>
      <c r="AC112">
        <v>430</v>
      </c>
      <c r="AD112">
        <v>3</v>
      </c>
      <c r="AE112">
        <v>1</v>
      </c>
      <c r="AF112"/>
      <c r="AG112" t="s">
        <v>13</v>
      </c>
      <c r="AH112" t="s">
        <v>51</v>
      </c>
      <c r="AI112" t="s">
        <v>274</v>
      </c>
      <c r="AJ112" t="str">
        <f>HYPERLINK(".\links\SWISSP\TI-291-SWISSP.txt","TBC1 domain family member CG11727 OS=Drosophila melanogaster GN=CG11727 PE=1")</f>
        <v>TBC1 domain family member CG11727 OS=Drosophila melanogaster GN=CG11727 PE=1</v>
      </c>
      <c r="AK112" t="str">
        <f>HYPERLINK("http://www.uniprot.org/uniprot/Q9VYY9","2E-044")</f>
        <v>2E-044</v>
      </c>
      <c r="AL112" t="s">
        <v>96</v>
      </c>
      <c r="AM112">
        <v>177</v>
      </c>
      <c r="AN112">
        <v>174</v>
      </c>
      <c r="AO112">
        <v>807</v>
      </c>
      <c r="AP112">
        <v>54</v>
      </c>
      <c r="AQ112">
        <v>22</v>
      </c>
      <c r="AR112">
        <v>79</v>
      </c>
      <c r="AS112">
        <v>6</v>
      </c>
      <c r="AT112">
        <v>406</v>
      </c>
      <c r="AU112">
        <v>3</v>
      </c>
      <c r="AV112">
        <v>1</v>
      </c>
      <c r="AW112" t="s">
        <v>52</v>
      </c>
      <c r="AX112" t="str">
        <f>HYPERLINK(".\links\PREV-RHOD-PEP\TI-291-PREV-RHOD-PEP.txt","Contig17358_14")</f>
        <v>Contig17358_14</v>
      </c>
      <c r="AY112" s="3">
        <v>9.9999999999999996E-81</v>
      </c>
      <c r="AZ112" t="s">
        <v>1011</v>
      </c>
      <c r="BA112">
        <v>294</v>
      </c>
      <c r="BB112">
        <v>168</v>
      </c>
      <c r="BC112">
        <v>838</v>
      </c>
      <c r="BD112">
        <v>88</v>
      </c>
      <c r="BE112">
        <v>20</v>
      </c>
      <c r="BF112">
        <v>20</v>
      </c>
      <c r="BG112">
        <v>0</v>
      </c>
      <c r="BH112">
        <v>399</v>
      </c>
      <c r="BI112">
        <v>3</v>
      </c>
      <c r="BJ112">
        <v>1</v>
      </c>
      <c r="BK112" t="s">
        <v>461</v>
      </c>
      <c r="BL112">
        <f>HYPERLINK(".\links\GO\TI-291-GO.txt",0.000000000000001)</f>
        <v>1.0000000000000001E-15</v>
      </c>
      <c r="BM112" t="s">
        <v>462</v>
      </c>
      <c r="BN112" t="s">
        <v>463</v>
      </c>
      <c r="BO112" t="s">
        <v>464</v>
      </c>
      <c r="BP112" t="s">
        <v>465</v>
      </c>
      <c r="BQ112">
        <v>2.0000000000000001E-13</v>
      </c>
      <c r="BR112" t="s">
        <v>8</v>
      </c>
      <c r="BS112" t="s">
        <v>8</v>
      </c>
      <c r="BT112" t="s">
        <v>8</v>
      </c>
      <c r="BU112" t="s">
        <v>8</v>
      </c>
      <c r="BV112" t="s">
        <v>8</v>
      </c>
      <c r="BW112" t="s">
        <v>8</v>
      </c>
      <c r="BX112" t="s">
        <v>8</v>
      </c>
      <c r="BY112" t="s">
        <v>8</v>
      </c>
      <c r="BZ112" t="s">
        <v>8</v>
      </c>
      <c r="CA112" t="s">
        <v>8</v>
      </c>
      <c r="CB112" t="s">
        <v>8</v>
      </c>
      <c r="CC112"/>
      <c r="CD112"/>
      <c r="CE112" t="s">
        <v>8</v>
      </c>
      <c r="CF112"/>
      <c r="CG112"/>
      <c r="CH112" t="s">
        <v>8</v>
      </c>
      <c r="CI112"/>
      <c r="CJ112" t="s">
        <v>8</v>
      </c>
      <c r="CK112"/>
      <c r="CL112" t="s">
        <v>8</v>
      </c>
      <c r="CM112"/>
      <c r="CN112" t="s">
        <v>8</v>
      </c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 t="s">
        <v>8</v>
      </c>
      <c r="DC112"/>
      <c r="DD112"/>
      <c r="DE112"/>
      <c r="DF112"/>
      <c r="DG112"/>
      <c r="DH112"/>
      <c r="DI112"/>
      <c r="DJ112"/>
      <c r="DK112"/>
      <c r="DL112"/>
      <c r="DM112"/>
      <c r="DN112"/>
      <c r="DO112"/>
    </row>
    <row r="113" spans="1:119" s="6" customFormat="1">
      <c r="A113" s="6" t="str">
        <f>HYPERLINK(".\links\pep\TI-289-pep.txt","TI-289")</f>
        <v>TI-289</v>
      </c>
      <c r="B113" s="6">
        <v>289</v>
      </c>
      <c r="C113" s="6" t="s">
        <v>22</v>
      </c>
      <c r="D113" s="6">
        <v>43</v>
      </c>
      <c r="E113" s="6">
        <v>0</v>
      </c>
      <c r="F113" s="6" t="str">
        <f>HYPERLINK(".\links\cds\TI-289-cds.txt","TI-289")</f>
        <v>TI-289</v>
      </c>
      <c r="G113" s="6">
        <v>132</v>
      </c>
      <c r="I113" s="6" t="s">
        <v>8</v>
      </c>
      <c r="J113" s="6" t="s">
        <v>6</v>
      </c>
      <c r="K113" s="6">
        <v>1</v>
      </c>
      <c r="L113" s="6">
        <v>5</v>
      </c>
      <c r="M113" s="6">
        <f t="shared" si="2"/>
        <v>4</v>
      </c>
      <c r="N113" s="6" t="s">
        <v>1170</v>
      </c>
      <c r="O113" s="6" t="s">
        <v>1171</v>
      </c>
      <c r="S113" s="6" t="s">
        <v>8</v>
      </c>
      <c r="AJ113" s="6" t="s">
        <v>8</v>
      </c>
      <c r="AX113" s="6" t="s">
        <v>8</v>
      </c>
      <c r="BK113" s="6" t="s">
        <v>8</v>
      </c>
      <c r="CB113" s="6" t="s">
        <v>8</v>
      </c>
      <c r="CE113" s="6" t="s">
        <v>8</v>
      </c>
      <c r="CH113" s="6" t="s">
        <v>8</v>
      </c>
      <c r="CJ113" s="6" t="s">
        <v>8</v>
      </c>
      <c r="CL113" s="6" t="s">
        <v>8</v>
      </c>
      <c r="CN113" s="6" t="s">
        <v>8</v>
      </c>
      <c r="DB113" s="6" t="s">
        <v>8</v>
      </c>
    </row>
    <row r="114" spans="1:119" s="6" customFormat="1">
      <c r="A114" s="6" t="str">
        <f>HYPERLINK(".\links\pep\TI-287-pep.txt","TI-287")</f>
        <v>TI-287</v>
      </c>
      <c r="B114" s="6">
        <v>287</v>
      </c>
      <c r="C114" s="6" t="s">
        <v>10</v>
      </c>
      <c r="D114" s="6">
        <v>48</v>
      </c>
      <c r="E114" s="6">
        <v>0</v>
      </c>
      <c r="F114" s="6" t="str">
        <f>HYPERLINK(".\links\cds\TI-287-cds.txt","TI-287")</f>
        <v>TI-287</v>
      </c>
      <c r="G114" s="6">
        <v>147</v>
      </c>
      <c r="I114" s="6" t="s">
        <v>8</v>
      </c>
      <c r="J114" s="6" t="s">
        <v>6</v>
      </c>
      <c r="K114" s="6">
        <v>0</v>
      </c>
      <c r="L114" s="6">
        <v>2</v>
      </c>
      <c r="M114" s="6">
        <f t="shared" si="2"/>
        <v>2</v>
      </c>
      <c r="N114" s="6" t="s">
        <v>1170</v>
      </c>
      <c r="O114" s="6" t="s">
        <v>1171</v>
      </c>
      <c r="S114" s="6" t="s">
        <v>8</v>
      </c>
      <c r="AJ114" s="6" t="s">
        <v>8</v>
      </c>
      <c r="AX114" s="6" t="s">
        <v>8</v>
      </c>
      <c r="BK114" s="6" t="s">
        <v>8</v>
      </c>
      <c r="CB114" s="6" t="s">
        <v>8</v>
      </c>
      <c r="CE114" s="6" t="s">
        <v>8</v>
      </c>
      <c r="CH114" s="6" t="s">
        <v>8</v>
      </c>
      <c r="CJ114" s="6" t="s">
        <v>8</v>
      </c>
      <c r="CL114" s="6" t="s">
        <v>8</v>
      </c>
      <c r="CN114" s="6" t="s">
        <v>8</v>
      </c>
      <c r="DB114" s="6" t="s">
        <v>8</v>
      </c>
    </row>
    <row r="115" spans="1:119" s="6" customFormat="1">
      <c r="A115" s="6" t="str">
        <f>HYPERLINK(".\links\pep\TI-283-pep.txt","TI-283")</f>
        <v>TI-283</v>
      </c>
      <c r="B115" s="6">
        <v>283</v>
      </c>
      <c r="C115" s="6" t="s">
        <v>17</v>
      </c>
      <c r="D115" s="6">
        <v>232</v>
      </c>
      <c r="E115" s="6">
        <v>0</v>
      </c>
      <c r="F115" s="6" t="str">
        <f>HYPERLINK(".\links\cds\TI-283-cds.txt","TI-283")</f>
        <v>TI-283</v>
      </c>
      <c r="G115" s="6">
        <v>699</v>
      </c>
      <c r="I115" s="6" t="s">
        <v>8</v>
      </c>
      <c r="J115" s="6" t="s">
        <v>6</v>
      </c>
      <c r="K115" s="6">
        <v>0</v>
      </c>
      <c r="L115" s="6">
        <v>3</v>
      </c>
      <c r="M115" s="6">
        <f t="shared" si="2"/>
        <v>3</v>
      </c>
      <c r="N115" s="6" t="s">
        <v>1170</v>
      </c>
      <c r="O115" s="6" t="s">
        <v>1171</v>
      </c>
      <c r="S115" s="6" t="str">
        <f>HYPERLINK(".\links\NR-LIGHT\TI-283-NR-LIGHT.txt","DNA primase")</f>
        <v>DNA primase</v>
      </c>
      <c r="T115" s="6" t="str">
        <f>HYPERLINK("http://www.ncbi.nlm.nih.gov/sutils/blink.cgi?pid=322376486","0.49")</f>
        <v>0.49</v>
      </c>
      <c r="U115" s="6" t="str">
        <f>HYPERLINK("http://www.ncbi.nlm.nih.gov/protein/322376486","gi|322376486")</f>
        <v>gi|322376486</v>
      </c>
      <c r="V115" s="6">
        <v>37</v>
      </c>
      <c r="W115" s="6">
        <v>76</v>
      </c>
      <c r="X115" s="6">
        <v>567</v>
      </c>
      <c r="Y115" s="6">
        <v>28</v>
      </c>
      <c r="Z115" s="6">
        <v>14</v>
      </c>
      <c r="AA115" s="6">
        <v>55</v>
      </c>
      <c r="AB115" s="6">
        <v>1</v>
      </c>
      <c r="AC115" s="6">
        <v>160</v>
      </c>
      <c r="AD115" s="6">
        <v>99</v>
      </c>
      <c r="AE115" s="6">
        <v>1</v>
      </c>
      <c r="AG115" s="6" t="s">
        <v>13</v>
      </c>
      <c r="AH115" s="6" t="s">
        <v>51</v>
      </c>
      <c r="AI115" s="6" t="s">
        <v>289</v>
      </c>
      <c r="AJ115" s="6" t="s">
        <v>8</v>
      </c>
      <c r="AX115" s="6" t="s">
        <v>8</v>
      </c>
      <c r="BK115" s="6" t="s">
        <v>8</v>
      </c>
      <c r="CB115" s="6" t="s">
        <v>8</v>
      </c>
      <c r="CE115" s="6" t="s">
        <v>8</v>
      </c>
      <c r="CH115" s="6" t="s">
        <v>8</v>
      </c>
      <c r="CJ115" s="6" t="s">
        <v>8</v>
      </c>
      <c r="CL115" s="6" t="s">
        <v>8</v>
      </c>
      <c r="CN115" s="6" t="s">
        <v>8</v>
      </c>
      <c r="DB115" s="6" t="s">
        <v>8</v>
      </c>
    </row>
    <row r="116" spans="1:119" s="6" customFormat="1">
      <c r="A116" s="6" t="str">
        <f>HYPERLINK(".\links\pep\TI-276-pep.txt","TI-276")</f>
        <v>TI-276</v>
      </c>
      <c r="B116" s="6">
        <v>276</v>
      </c>
      <c r="C116" s="6" t="s">
        <v>26</v>
      </c>
      <c r="D116" s="6">
        <v>15</v>
      </c>
      <c r="E116" s="6">
        <v>0</v>
      </c>
      <c r="F116" s="6" t="str">
        <f>HYPERLINK(".\links\cds\TI-276-cds.txt","TI-276")</f>
        <v>TI-276</v>
      </c>
      <c r="G116" s="6">
        <v>48</v>
      </c>
      <c r="I116" s="6" t="s">
        <v>8</v>
      </c>
      <c r="J116" s="6" t="s">
        <v>6</v>
      </c>
      <c r="K116" s="6">
        <v>0</v>
      </c>
      <c r="L116" s="6">
        <v>5</v>
      </c>
      <c r="M116" s="6">
        <f t="shared" si="2"/>
        <v>5</v>
      </c>
      <c r="N116" s="6" t="s">
        <v>1170</v>
      </c>
      <c r="O116" s="6" t="s">
        <v>1171</v>
      </c>
      <c r="S116" s="6" t="s">
        <v>8</v>
      </c>
      <c r="AJ116" s="6" t="s">
        <v>8</v>
      </c>
      <c r="AX116" s="6" t="s">
        <v>8</v>
      </c>
      <c r="BK116" s="6" t="s">
        <v>8</v>
      </c>
      <c r="CB116" s="6" t="s">
        <v>8</v>
      </c>
      <c r="CE116" s="6" t="s">
        <v>8</v>
      </c>
      <c r="CH116" s="6" t="s">
        <v>8</v>
      </c>
      <c r="CJ116" s="6" t="s">
        <v>8</v>
      </c>
      <c r="CL116" s="6" t="s">
        <v>8</v>
      </c>
      <c r="CN116" s="6" t="s">
        <v>8</v>
      </c>
      <c r="DB116" s="6" t="s">
        <v>8</v>
      </c>
    </row>
    <row r="117" spans="1:119" s="6" customFormat="1">
      <c r="A117" s="6" t="str">
        <f>HYPERLINK(".\links\pep\TI-272-pep.txt","TI-272")</f>
        <v>TI-272</v>
      </c>
      <c r="B117" s="6">
        <v>272</v>
      </c>
      <c r="C117" s="6" t="s">
        <v>12</v>
      </c>
      <c r="D117" s="6">
        <v>151</v>
      </c>
      <c r="E117" s="6">
        <v>0</v>
      </c>
      <c r="F117" s="6" t="str">
        <f>HYPERLINK(".\links\cds\TI-272-cds.txt","TI-272")</f>
        <v>TI-272</v>
      </c>
      <c r="G117" s="6">
        <v>456</v>
      </c>
      <c r="I117" s="6" t="s">
        <v>8</v>
      </c>
      <c r="J117" s="6" t="s">
        <v>6</v>
      </c>
      <c r="K117" s="6">
        <v>0</v>
      </c>
      <c r="L117" s="6">
        <v>2</v>
      </c>
      <c r="M117" s="6">
        <f t="shared" si="2"/>
        <v>2</v>
      </c>
      <c r="N117" s="6" t="s">
        <v>1170</v>
      </c>
      <c r="O117" s="6" t="s">
        <v>1171</v>
      </c>
      <c r="S117" s="6" t="str">
        <f>HYPERLINK(".\links\NR-LIGHT\TI-272-NR-LIGHT.txt","hypothetical protein")</f>
        <v>hypothetical protein</v>
      </c>
      <c r="T117" s="6" t="str">
        <f>HYPERLINK("http://www.ncbi.nlm.nih.gov/sutils/blink.cgi?pid=72082777","5.4")</f>
        <v>5.4</v>
      </c>
      <c r="U117" s="6" t="str">
        <f>HYPERLINK("http://www.ncbi.nlm.nih.gov/protein/72082777","gi|72082777")</f>
        <v>gi|72082777</v>
      </c>
      <c r="V117" s="6">
        <v>32</v>
      </c>
      <c r="W117" s="6">
        <v>47</v>
      </c>
      <c r="X117" s="6">
        <v>290</v>
      </c>
      <c r="Y117" s="6">
        <v>30</v>
      </c>
      <c r="Z117" s="6">
        <v>17</v>
      </c>
      <c r="AA117" s="6">
        <v>34</v>
      </c>
      <c r="AB117" s="6">
        <v>4</v>
      </c>
      <c r="AC117" s="6">
        <v>205</v>
      </c>
      <c r="AD117" s="6">
        <v>94</v>
      </c>
      <c r="AE117" s="6">
        <v>1</v>
      </c>
      <c r="AG117" s="6" t="s">
        <v>13</v>
      </c>
      <c r="AH117" s="6" t="s">
        <v>51</v>
      </c>
      <c r="AI117" s="6" t="s">
        <v>288</v>
      </c>
      <c r="AJ117" s="6" t="s">
        <v>8</v>
      </c>
      <c r="AX117" s="6" t="s">
        <v>8</v>
      </c>
      <c r="BK117" s="6" t="s">
        <v>8</v>
      </c>
      <c r="CB117" s="6" t="s">
        <v>8</v>
      </c>
      <c r="CE117" s="6" t="s">
        <v>8</v>
      </c>
      <c r="CH117" s="6" t="s">
        <v>8</v>
      </c>
      <c r="CJ117" s="6" t="s">
        <v>8</v>
      </c>
      <c r="CL117" s="6" t="s">
        <v>8</v>
      </c>
      <c r="CN117" s="6" t="s">
        <v>8</v>
      </c>
      <c r="DB117" s="6" t="s">
        <v>8</v>
      </c>
    </row>
    <row r="118" spans="1:119" s="6" customFormat="1">
      <c r="A118" t="str">
        <f>HYPERLINK(".\links\pep\TI-265-pep.txt","TI-265")</f>
        <v>TI-265</v>
      </c>
      <c r="B118">
        <v>265</v>
      </c>
      <c r="C118" t="s">
        <v>15</v>
      </c>
      <c r="D118">
        <v>206</v>
      </c>
      <c r="E118">
        <v>0</v>
      </c>
      <c r="F118" t="str">
        <f>HYPERLINK(".\links\cds\TI-265-cds.txt","TI-265")</f>
        <v>TI-265</v>
      </c>
      <c r="G118">
        <v>621</v>
      </c>
      <c r="H118"/>
      <c r="I118" t="s">
        <v>8</v>
      </c>
      <c r="J118" t="s">
        <v>6</v>
      </c>
      <c r="K118">
        <v>1</v>
      </c>
      <c r="L118">
        <v>12</v>
      </c>
      <c r="M118">
        <f t="shared" si="2"/>
        <v>11</v>
      </c>
      <c r="N118" t="s">
        <v>1305</v>
      </c>
      <c r="O118" t="s">
        <v>1178</v>
      </c>
      <c r="P118" t="str">
        <f>HYPERLINK(".\links\NR-LIGHT\TI-265-NR-LIGHT.txt","NR-LIGHT")</f>
        <v>NR-LIGHT</v>
      </c>
      <c r="Q118" s="3">
        <v>1.0000000000000001E-31</v>
      </c>
      <c r="R118">
        <v>44.3</v>
      </c>
      <c r="S118" t="str">
        <f>HYPERLINK(".\links\NR-LIGHT\TI-265-NR-LIGHT.txt","predicted RNA-binding protein")</f>
        <v>predicted RNA-binding protein</v>
      </c>
      <c r="T118" t="str">
        <f>HYPERLINK("http://www.ncbi.nlm.nih.gov/sutils/blink.cgi?pid=149898790","1E-031")</f>
        <v>1E-031</v>
      </c>
      <c r="U118" t="str">
        <f>HYPERLINK("http://www.ncbi.nlm.nih.gov/protein/149898790","gi|149898790")</f>
        <v>gi|149898790</v>
      </c>
      <c r="V118">
        <v>138</v>
      </c>
      <c r="W118">
        <v>132</v>
      </c>
      <c r="X118">
        <v>300</v>
      </c>
      <c r="Y118">
        <v>57</v>
      </c>
      <c r="Z118">
        <v>44</v>
      </c>
      <c r="AA118">
        <v>56</v>
      </c>
      <c r="AB118">
        <v>0</v>
      </c>
      <c r="AC118">
        <v>140</v>
      </c>
      <c r="AD118">
        <v>1</v>
      </c>
      <c r="AE118">
        <v>1</v>
      </c>
      <c r="AF118"/>
      <c r="AG118" t="s">
        <v>13</v>
      </c>
      <c r="AH118" t="s">
        <v>51</v>
      </c>
      <c r="AI118" t="s">
        <v>273</v>
      </c>
      <c r="AJ118" t="s">
        <v>8</v>
      </c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 t="str">
        <f>HYPERLINK(".\links\PREV-RHOD-PEP\TI-265-PREV-RHOD-PEP.txt","Contig18051_98")</f>
        <v>Contig18051_98</v>
      </c>
      <c r="AY118" s="3">
        <v>3.0000000000000002E-36</v>
      </c>
      <c r="AZ118" t="s">
        <v>1095</v>
      </c>
      <c r="BA118">
        <v>147</v>
      </c>
      <c r="BB118">
        <v>203</v>
      </c>
      <c r="BC118">
        <v>343</v>
      </c>
      <c r="BD118">
        <v>46</v>
      </c>
      <c r="BE118">
        <v>59</v>
      </c>
      <c r="BF118">
        <v>110</v>
      </c>
      <c r="BG118">
        <v>2</v>
      </c>
      <c r="BH118">
        <v>140</v>
      </c>
      <c r="BI118">
        <v>1</v>
      </c>
      <c r="BJ118">
        <v>1</v>
      </c>
      <c r="BK118" t="s">
        <v>8</v>
      </c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 t="s">
        <v>8</v>
      </c>
      <c r="CC118"/>
      <c r="CD118"/>
      <c r="CE118" t="s">
        <v>8</v>
      </c>
      <c r="CF118"/>
      <c r="CG118"/>
      <c r="CH118" t="s">
        <v>8</v>
      </c>
      <c r="CI118"/>
      <c r="CJ118" t="s">
        <v>8</v>
      </c>
      <c r="CK118"/>
      <c r="CL118" t="s">
        <v>8</v>
      </c>
      <c r="CM118"/>
      <c r="CN118" t="s">
        <v>8</v>
      </c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 t="s">
        <v>8</v>
      </c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19" s="6" customFormat="1">
      <c r="A119" s="6" t="str">
        <f>HYPERLINK(".\links\pep\TI-261-pep.txt","TI-261")</f>
        <v>TI-261</v>
      </c>
      <c r="B119" s="6">
        <v>261</v>
      </c>
      <c r="C119" s="6" t="s">
        <v>11</v>
      </c>
      <c r="D119" s="6">
        <v>17</v>
      </c>
      <c r="E119" s="6">
        <v>0</v>
      </c>
      <c r="F119" s="6" t="str">
        <f>HYPERLINK(".\links\cds\TI-261-cds.txt","TI-261")</f>
        <v>TI-261</v>
      </c>
      <c r="G119" s="6">
        <v>54</v>
      </c>
      <c r="I119" s="6" t="s">
        <v>8</v>
      </c>
      <c r="J119" s="6" t="s">
        <v>6</v>
      </c>
      <c r="K119" s="6">
        <v>0</v>
      </c>
      <c r="L119" s="6">
        <v>4</v>
      </c>
      <c r="M119" s="6">
        <f t="shared" si="2"/>
        <v>4</v>
      </c>
      <c r="N119" s="6" t="s">
        <v>1170</v>
      </c>
      <c r="O119" s="6" t="s">
        <v>1171</v>
      </c>
      <c r="S119" s="6" t="s">
        <v>8</v>
      </c>
      <c r="AJ119" s="6" t="s">
        <v>8</v>
      </c>
      <c r="AX119" s="6" t="s">
        <v>8</v>
      </c>
      <c r="BK119" s="6" t="s">
        <v>8</v>
      </c>
      <c r="CB119" s="6" t="s">
        <v>8</v>
      </c>
      <c r="CE119" s="6" t="s">
        <v>8</v>
      </c>
      <c r="CH119" s="6" t="s">
        <v>8</v>
      </c>
      <c r="CJ119" s="6" t="s">
        <v>8</v>
      </c>
      <c r="CL119" s="6" t="s">
        <v>8</v>
      </c>
      <c r="CN119" s="6" t="str">
        <f>HYPERLINK(".\links\MIT-PLA\TI-261-MIT-PLA.txt","TSA: Triatoma matogrossensis Tm-536 cytochrome c oxidase subunit I mRNA, partial")</f>
        <v>TSA: Triatoma matogrossensis Tm-536 cytochrome c oxidase subunit I mRNA, partial</v>
      </c>
      <c r="CO119" s="6" t="str">
        <f>HYPERLINK("http://www.ncbi.nlm.nih.gov/entrez/viewer.fcgi?db=nucleotide&amp;val=307095173","3E-007")</f>
        <v>3E-007</v>
      </c>
      <c r="CP119" s="6" t="str">
        <f>HYPERLINK("http://www.ncbi.nlm.nih.gov/entrez/viewer.fcgi?db=nucleotide&amp;val=307095173","gi|307095173")</f>
        <v>gi|307095173</v>
      </c>
      <c r="CQ119" s="6">
        <v>48.1</v>
      </c>
      <c r="CR119" s="6">
        <v>27</v>
      </c>
      <c r="CS119" s="6">
        <v>1068</v>
      </c>
      <c r="CT119" s="6">
        <v>96</v>
      </c>
      <c r="CU119" s="6">
        <v>3</v>
      </c>
      <c r="CV119" s="6">
        <v>1</v>
      </c>
      <c r="CW119" s="6">
        <v>0</v>
      </c>
      <c r="CX119" s="6">
        <v>13</v>
      </c>
      <c r="CY119" s="6">
        <v>10</v>
      </c>
      <c r="CZ119" s="6">
        <v>1</v>
      </c>
      <c r="DA119" s="6" t="s">
        <v>51</v>
      </c>
      <c r="DB119" s="6" t="s">
        <v>8</v>
      </c>
    </row>
    <row r="120" spans="1:119" s="6" customFormat="1">
      <c r="A120" t="str">
        <f>HYPERLINK(".\links\pep\TI-259-pep.txt","TI-259")</f>
        <v>TI-259</v>
      </c>
      <c r="B120">
        <v>259</v>
      </c>
      <c r="C120" t="s">
        <v>7</v>
      </c>
      <c r="D120">
        <v>99</v>
      </c>
      <c r="E120">
        <v>0</v>
      </c>
      <c r="F120" t="str">
        <f>HYPERLINK(".\links\cds\TI-259-cds.txt","TI-259")</f>
        <v>TI-259</v>
      </c>
      <c r="G120">
        <v>300</v>
      </c>
      <c r="H120"/>
      <c r="I120" t="s">
        <v>29</v>
      </c>
      <c r="J120" t="s">
        <v>6</v>
      </c>
      <c r="K120">
        <v>0</v>
      </c>
      <c r="L120">
        <v>1</v>
      </c>
      <c r="M120">
        <f t="shared" si="2"/>
        <v>1</v>
      </c>
      <c r="N120" t="s">
        <v>1215</v>
      </c>
      <c r="O120" t="s">
        <v>1178</v>
      </c>
      <c r="P120" t="str">
        <f>HYPERLINK(".\links\NR-LIGHT\TI-259-NR-LIGHT.txt","NR-LIGHT")</f>
        <v>NR-LIGHT</v>
      </c>
      <c r="Q120" s="3">
        <v>7.9999999999999996E-20</v>
      </c>
      <c r="R120">
        <v>75.599999999999994</v>
      </c>
      <c r="S120" t="str">
        <f>HYPERLINK(".\links\NR-LIGHT\TI-259-NR-LIGHT.txt","similar to RE17222p")</f>
        <v>similar to RE17222p</v>
      </c>
      <c r="T120" t="str">
        <f>HYPERLINK("http://www.ncbi.nlm.nih.gov/sutils/blink.cgi?pid=156543290","8E-020")</f>
        <v>8E-020</v>
      </c>
      <c r="U120" t="str">
        <f>HYPERLINK("http://www.ncbi.nlm.nih.gov/protein/156543290","gi|156543290")</f>
        <v>gi|156543290</v>
      </c>
      <c r="V120">
        <v>97.8</v>
      </c>
      <c r="W120">
        <v>86</v>
      </c>
      <c r="X120">
        <v>115</v>
      </c>
      <c r="Y120">
        <v>48</v>
      </c>
      <c r="Z120">
        <v>76</v>
      </c>
      <c r="AA120">
        <v>45</v>
      </c>
      <c r="AB120">
        <v>0</v>
      </c>
      <c r="AC120">
        <v>1</v>
      </c>
      <c r="AD120">
        <v>1</v>
      </c>
      <c r="AE120">
        <v>1</v>
      </c>
      <c r="AF120"/>
      <c r="AG120" t="s">
        <v>13</v>
      </c>
      <c r="AH120" t="s">
        <v>51</v>
      </c>
      <c r="AI120" t="s">
        <v>274</v>
      </c>
      <c r="AJ120" t="s">
        <v>8</v>
      </c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 t="str">
        <f>HYPERLINK(".\links\PREV-RHOD-PEP\TI-259-PREV-RHOD-PEP.txt","Contig17872_112")</f>
        <v>Contig17872_112</v>
      </c>
      <c r="AY120" s="3">
        <v>1.9999999999999999E-20</v>
      </c>
      <c r="AZ120" t="s">
        <v>1092</v>
      </c>
      <c r="BA120">
        <v>94</v>
      </c>
      <c r="BB120">
        <v>44</v>
      </c>
      <c r="BC120">
        <v>46</v>
      </c>
      <c r="BD120">
        <v>97</v>
      </c>
      <c r="BE120">
        <v>98</v>
      </c>
      <c r="BF120">
        <v>1</v>
      </c>
      <c r="BG120">
        <v>0</v>
      </c>
      <c r="BH120">
        <v>1</v>
      </c>
      <c r="BI120">
        <v>6</v>
      </c>
      <c r="BJ120">
        <v>1</v>
      </c>
      <c r="BK120" t="s">
        <v>756</v>
      </c>
      <c r="BL120">
        <f>HYPERLINK(".\links\GO\TI-259-GO.txt",0.00002)</f>
        <v>2.0000000000000002E-5</v>
      </c>
      <c r="BM120" t="s">
        <v>757</v>
      </c>
      <c r="BN120" t="s">
        <v>340</v>
      </c>
      <c r="BO120" t="s">
        <v>468</v>
      </c>
      <c r="BP120" t="s">
        <v>758</v>
      </c>
      <c r="BQ120">
        <v>8.0000000000000002E-3</v>
      </c>
      <c r="BR120" t="s">
        <v>447</v>
      </c>
      <c r="BS120" t="s">
        <v>323</v>
      </c>
      <c r="BT120" t="s">
        <v>334</v>
      </c>
      <c r="BU120" t="s">
        <v>448</v>
      </c>
      <c r="BV120">
        <v>8.0000000000000002E-3</v>
      </c>
      <c r="BW120" t="s">
        <v>8</v>
      </c>
      <c r="BX120" t="s">
        <v>8</v>
      </c>
      <c r="BY120" t="s">
        <v>8</v>
      </c>
      <c r="BZ120" t="s">
        <v>8</v>
      </c>
      <c r="CA120" t="s">
        <v>8</v>
      </c>
      <c r="CB120" t="s">
        <v>8</v>
      </c>
      <c r="CC120"/>
      <c r="CD120"/>
      <c r="CE120" t="s">
        <v>8</v>
      </c>
      <c r="CF120"/>
      <c r="CG120"/>
      <c r="CH120" t="s">
        <v>8</v>
      </c>
      <c r="CI120"/>
      <c r="CJ120" t="s">
        <v>8</v>
      </c>
      <c r="CK120"/>
      <c r="CL120" t="s">
        <v>8</v>
      </c>
      <c r="CM120"/>
      <c r="CN120" t="s">
        <v>8</v>
      </c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 t="s">
        <v>8</v>
      </c>
      <c r="DC120"/>
      <c r="DD120"/>
      <c r="DE120"/>
      <c r="DF120"/>
      <c r="DG120"/>
      <c r="DH120"/>
      <c r="DI120"/>
      <c r="DJ120"/>
      <c r="DK120"/>
      <c r="DL120"/>
      <c r="DM120"/>
      <c r="DN120"/>
      <c r="DO120"/>
    </row>
    <row r="121" spans="1:119" s="6" customFormat="1">
      <c r="A121" t="str">
        <f>HYPERLINK(".\links\pep\TI-256-pep.txt","TI-256")</f>
        <v>TI-256</v>
      </c>
      <c r="B121">
        <v>256</v>
      </c>
      <c r="C121" t="s">
        <v>16</v>
      </c>
      <c r="D121">
        <v>236</v>
      </c>
      <c r="E121">
        <v>0</v>
      </c>
      <c r="F121" t="str">
        <f>HYPERLINK(".\links\cds\TI-256-cds.txt","TI-256")</f>
        <v>TI-256</v>
      </c>
      <c r="G121">
        <v>711</v>
      </c>
      <c r="H121"/>
      <c r="I121" t="s">
        <v>8</v>
      </c>
      <c r="J121" t="s">
        <v>6</v>
      </c>
      <c r="K121">
        <v>0</v>
      </c>
      <c r="L121">
        <v>1</v>
      </c>
      <c r="M121">
        <f t="shared" si="2"/>
        <v>1</v>
      </c>
      <c r="N121" t="s">
        <v>1214</v>
      </c>
      <c r="O121" t="s">
        <v>1210</v>
      </c>
      <c r="P121" t="str">
        <f>HYPERLINK(".\links\SWISSP\TI-256-SWISSP.txt","SWISSP")</f>
        <v>SWISSP</v>
      </c>
      <c r="Q121" s="3">
        <v>2E-91</v>
      </c>
      <c r="R121">
        <v>62.3</v>
      </c>
      <c r="S121" t="str">
        <f>HYPERLINK(".\links\NR-LIGHT\TI-256-NR-LIGHT.txt","infestin 1-7 precursor")</f>
        <v>infestin 1-7 precursor</v>
      </c>
      <c r="T121" t="str">
        <f>HYPERLINK("http://www.ncbi.nlm.nih.gov/sutils/blink.cgi?pid=83637828","1E-125")</f>
        <v>1E-125</v>
      </c>
      <c r="U121" t="str">
        <f>HYPERLINK("http://www.ncbi.nlm.nih.gov/protein/83637828","gi|83637828")</f>
        <v>gi|83637828</v>
      </c>
      <c r="V121">
        <v>449</v>
      </c>
      <c r="W121">
        <v>398</v>
      </c>
      <c r="X121">
        <v>409</v>
      </c>
      <c r="Y121">
        <v>96</v>
      </c>
      <c r="Z121">
        <v>98</v>
      </c>
      <c r="AA121">
        <v>9</v>
      </c>
      <c r="AB121">
        <v>0</v>
      </c>
      <c r="AC121">
        <v>11</v>
      </c>
      <c r="AD121">
        <v>9</v>
      </c>
      <c r="AE121">
        <v>5</v>
      </c>
      <c r="AF121"/>
      <c r="AG121" t="s">
        <v>13</v>
      </c>
      <c r="AH121" t="s">
        <v>51</v>
      </c>
      <c r="AI121" t="s">
        <v>273</v>
      </c>
      <c r="AJ121" t="str">
        <f>HYPERLINK(".\links\SWISSP\TI-256-SWISSP.txt","Serine protease inhibitor dipetalogastin (Fragment) OS=Dipetalogaster maximus")</f>
        <v>Serine protease inhibitor dipetalogastin (Fragment) OS=Dipetalogaster maximus</v>
      </c>
      <c r="AK121" t="str">
        <f>HYPERLINK("http://www.uniprot.org/uniprot/O96790","2E-091")</f>
        <v>2E-091</v>
      </c>
      <c r="AL121" t="s">
        <v>169</v>
      </c>
      <c r="AM121">
        <v>335</v>
      </c>
      <c r="AN121">
        <v>337</v>
      </c>
      <c r="AO121">
        <v>351</v>
      </c>
      <c r="AP121">
        <v>73</v>
      </c>
      <c r="AQ121">
        <v>96</v>
      </c>
      <c r="AR121">
        <v>58</v>
      </c>
      <c r="AS121">
        <v>0</v>
      </c>
      <c r="AT121">
        <v>12</v>
      </c>
      <c r="AU121">
        <v>2</v>
      </c>
      <c r="AV121">
        <v>7</v>
      </c>
      <c r="AW121" t="s">
        <v>170</v>
      </c>
      <c r="AX121" t="str">
        <f>HYPERLINK(".\links\PREV-RHOD-PEP\TI-256-PREV-RHOD-PEP.txt","Contig17791_8")</f>
        <v>Contig17791_8</v>
      </c>
      <c r="AY121" s="3">
        <v>9.9999999999999995E-58</v>
      </c>
      <c r="AZ121" t="s">
        <v>1084</v>
      </c>
      <c r="BA121">
        <v>219</v>
      </c>
      <c r="BB121">
        <v>254</v>
      </c>
      <c r="BC121">
        <v>348</v>
      </c>
      <c r="BD121">
        <v>51</v>
      </c>
      <c r="BE121">
        <v>73</v>
      </c>
      <c r="BF121">
        <v>119</v>
      </c>
      <c r="BG121">
        <v>27</v>
      </c>
      <c r="BH121">
        <v>18</v>
      </c>
      <c r="BI121">
        <v>8</v>
      </c>
      <c r="BJ121">
        <v>3</v>
      </c>
      <c r="BK121" t="s">
        <v>750</v>
      </c>
      <c r="BL121">
        <f>HYPERLINK(".\links\GO\TI-256-GO.txt",0.00000000000003)</f>
        <v>2.9999999999999998E-14</v>
      </c>
      <c r="BM121" t="s">
        <v>721</v>
      </c>
      <c r="BN121" t="s">
        <v>444</v>
      </c>
      <c r="BO121" t="s">
        <v>445</v>
      </c>
      <c r="BP121" t="s">
        <v>722</v>
      </c>
      <c r="BQ121">
        <v>2.9999999999999998E-14</v>
      </c>
      <c r="BR121" t="s">
        <v>751</v>
      </c>
      <c r="BS121" t="s">
        <v>501</v>
      </c>
      <c r="BT121" t="s">
        <v>752</v>
      </c>
      <c r="BU121" t="s">
        <v>753</v>
      </c>
      <c r="BV121">
        <v>2.9999999999999998E-14</v>
      </c>
      <c r="BW121" t="s">
        <v>754</v>
      </c>
      <c r="BX121" t="s">
        <v>444</v>
      </c>
      <c r="BY121" t="s">
        <v>445</v>
      </c>
      <c r="BZ121" t="s">
        <v>755</v>
      </c>
      <c r="CA121">
        <v>2.9999999999999998E-14</v>
      </c>
      <c r="CB121" t="s">
        <v>8</v>
      </c>
      <c r="CC121"/>
      <c r="CD121"/>
      <c r="CE121" t="s">
        <v>8</v>
      </c>
      <c r="CF121"/>
      <c r="CG121"/>
      <c r="CH121" t="s">
        <v>8</v>
      </c>
      <c r="CI121"/>
      <c r="CJ121" t="s">
        <v>8</v>
      </c>
      <c r="CK121"/>
      <c r="CL121" t="s">
        <v>8</v>
      </c>
      <c r="CM121"/>
      <c r="CN121" t="s">
        <v>8</v>
      </c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 t="s">
        <v>8</v>
      </c>
      <c r="DC121"/>
      <c r="DD121"/>
      <c r="DE121"/>
      <c r="DF121"/>
      <c r="DG121"/>
      <c r="DH121"/>
      <c r="DI121"/>
      <c r="DJ121"/>
      <c r="DK121"/>
      <c r="DL121"/>
      <c r="DM121"/>
      <c r="DN121"/>
      <c r="DO121"/>
    </row>
    <row r="122" spans="1:119" s="6" customFormat="1">
      <c r="A122" t="str">
        <f>HYPERLINK(".\links\pep\TI-250-pep.txt","TI-250")</f>
        <v>TI-250</v>
      </c>
      <c r="B122">
        <v>250</v>
      </c>
      <c r="C122" t="s">
        <v>16</v>
      </c>
      <c r="D122">
        <v>155</v>
      </c>
      <c r="E122">
        <v>0</v>
      </c>
      <c r="F122" t="str">
        <f>HYPERLINK(".\links\cds\TI-250-cds.txt","TI-250")</f>
        <v>TI-250</v>
      </c>
      <c r="G122">
        <v>468</v>
      </c>
      <c r="H122"/>
      <c r="I122" t="s">
        <v>8</v>
      </c>
      <c r="J122" t="s">
        <v>6</v>
      </c>
      <c r="K122">
        <v>0</v>
      </c>
      <c r="L122">
        <v>1</v>
      </c>
      <c r="M122">
        <f t="shared" si="2"/>
        <v>1</v>
      </c>
      <c r="N122" t="s">
        <v>1303</v>
      </c>
      <c r="O122" t="s">
        <v>1169</v>
      </c>
      <c r="P122" t="str">
        <f>HYPERLINK(".\links\NR-LIGHT\TI-250-NR-LIGHT.txt","NR-LIGHT")</f>
        <v>NR-LIGHT</v>
      </c>
      <c r="Q122" s="3">
        <v>3E-57</v>
      </c>
      <c r="R122">
        <v>78.2</v>
      </c>
      <c r="S122" t="str">
        <f>HYPERLINK(".\links\NR-LIGHT\TI-250-NR-LIGHT.txt","40S ribosomal protein S14, putative")</f>
        <v>40S ribosomal protein S14, putative</v>
      </c>
      <c r="T122" t="str">
        <f>HYPERLINK("http://www.ncbi.nlm.nih.gov/sutils/blink.cgi?pid=242012371","3E-057")</f>
        <v>3E-057</v>
      </c>
      <c r="U122" t="str">
        <f>HYPERLINK("http://www.ncbi.nlm.nih.gov/protein/242012371","gi|242012371")</f>
        <v>gi|242012371</v>
      </c>
      <c r="V122">
        <v>222</v>
      </c>
      <c r="W122">
        <v>139</v>
      </c>
      <c r="X122">
        <v>179</v>
      </c>
      <c r="Y122">
        <v>79</v>
      </c>
      <c r="Z122">
        <v>78</v>
      </c>
      <c r="AA122">
        <v>29</v>
      </c>
      <c r="AB122">
        <v>0</v>
      </c>
      <c r="AC122">
        <v>1</v>
      </c>
      <c r="AD122">
        <v>5</v>
      </c>
      <c r="AE122">
        <v>1</v>
      </c>
      <c r="AF122"/>
      <c r="AG122" t="s">
        <v>13</v>
      </c>
      <c r="AH122" t="s">
        <v>51</v>
      </c>
      <c r="AI122" t="s">
        <v>268</v>
      </c>
      <c r="AJ122" t="str">
        <f>HYPERLINK(".\links\SWISSP\TI-250-SWISSP.txt","40S ribosomal protein S14 OS=Drosophila melanogaster GN=RpS14a PE=1 SV=1")</f>
        <v>40S ribosomal protein S14 OS=Drosophila melanogaster GN=RpS14a PE=1 SV=1</v>
      </c>
      <c r="AK122" t="str">
        <f>HYPERLINK("http://www.uniprot.org/uniprot/P14130","2E-055")</f>
        <v>2E-055</v>
      </c>
      <c r="AL122" t="s">
        <v>173</v>
      </c>
      <c r="AM122">
        <v>214</v>
      </c>
      <c r="AN122">
        <v>139</v>
      </c>
      <c r="AO122">
        <v>151</v>
      </c>
      <c r="AP122">
        <v>75</v>
      </c>
      <c r="AQ122">
        <v>93</v>
      </c>
      <c r="AR122">
        <v>34</v>
      </c>
      <c r="AS122">
        <v>0</v>
      </c>
      <c r="AT122">
        <v>1</v>
      </c>
      <c r="AU122">
        <v>5</v>
      </c>
      <c r="AV122">
        <v>1</v>
      </c>
      <c r="AW122" t="s">
        <v>52</v>
      </c>
      <c r="AX122" t="str">
        <f>HYPERLINK(".\links\PREV-RHOD-PEP\TI-250-PREV-RHOD-PEP.txt","Contig6820_5")</f>
        <v>Contig6820_5</v>
      </c>
      <c r="AY122" s="3">
        <v>9.9999999999999999E-56</v>
      </c>
      <c r="AZ122" t="s">
        <v>1090</v>
      </c>
      <c r="BA122">
        <v>211</v>
      </c>
      <c r="BB122">
        <v>139</v>
      </c>
      <c r="BC122">
        <v>151</v>
      </c>
      <c r="BD122">
        <v>81</v>
      </c>
      <c r="BE122">
        <v>93</v>
      </c>
      <c r="BF122">
        <v>26</v>
      </c>
      <c r="BG122">
        <v>0</v>
      </c>
      <c r="BH122">
        <v>1</v>
      </c>
      <c r="BI122">
        <v>5</v>
      </c>
      <c r="BJ122">
        <v>1</v>
      </c>
      <c r="BK122" t="s">
        <v>738</v>
      </c>
      <c r="BL122">
        <f>HYPERLINK(".\links\GO\TI-250-GO.txt",7E-56)</f>
        <v>6.9999999999999996E-56</v>
      </c>
      <c r="BM122" t="s">
        <v>329</v>
      </c>
      <c r="BN122" t="s">
        <v>330</v>
      </c>
      <c r="BO122" t="s">
        <v>331</v>
      </c>
      <c r="BP122" t="s">
        <v>332</v>
      </c>
      <c r="BQ122" s="3">
        <v>6.9999999999999996E-56</v>
      </c>
      <c r="BR122" t="s">
        <v>739</v>
      </c>
      <c r="BS122" t="s">
        <v>323</v>
      </c>
      <c r="BT122" t="s">
        <v>334</v>
      </c>
      <c r="BU122" t="s">
        <v>740</v>
      </c>
      <c r="BV122" s="3">
        <v>6.9999999999999996E-56</v>
      </c>
      <c r="BW122" t="s">
        <v>336</v>
      </c>
      <c r="BX122" t="s">
        <v>330</v>
      </c>
      <c r="BY122" t="s">
        <v>331</v>
      </c>
      <c r="BZ122" t="s">
        <v>337</v>
      </c>
      <c r="CA122" s="3">
        <v>6.9999999999999996E-56</v>
      </c>
      <c r="CB122" t="s">
        <v>8</v>
      </c>
      <c r="CC122"/>
      <c r="CD122"/>
      <c r="CE122" t="s">
        <v>8</v>
      </c>
      <c r="CF122"/>
      <c r="CG122"/>
      <c r="CH122" t="s">
        <v>8</v>
      </c>
      <c r="CI122"/>
      <c r="CJ122" t="s">
        <v>8</v>
      </c>
      <c r="CK122"/>
      <c r="CL122" t="s">
        <v>8</v>
      </c>
      <c r="CM122"/>
      <c r="CN122" t="s">
        <v>8</v>
      </c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 t="s">
        <v>8</v>
      </c>
      <c r="DC122"/>
      <c r="DD122"/>
      <c r="DE122"/>
      <c r="DF122"/>
      <c r="DG122"/>
      <c r="DH122"/>
      <c r="DI122"/>
      <c r="DJ122"/>
      <c r="DK122"/>
      <c r="DL122"/>
      <c r="DM122"/>
      <c r="DN122"/>
      <c r="DO122"/>
    </row>
    <row r="123" spans="1:119" s="6" customFormat="1">
      <c r="A123" t="str">
        <f>HYPERLINK(".\links\pep\TI-249-pep.txt","TI-249")</f>
        <v>TI-249</v>
      </c>
      <c r="B123">
        <v>249</v>
      </c>
      <c r="C123" t="s">
        <v>7</v>
      </c>
      <c r="D123">
        <v>162</v>
      </c>
      <c r="E123">
        <v>0</v>
      </c>
      <c r="F123" t="str">
        <f>HYPERLINK(".\links\cds\TI-249-cds.txt","TI-249")</f>
        <v>TI-249</v>
      </c>
      <c r="G123">
        <v>489</v>
      </c>
      <c r="H123"/>
      <c r="I123" t="s">
        <v>29</v>
      </c>
      <c r="J123" t="s">
        <v>6</v>
      </c>
      <c r="K123">
        <v>0</v>
      </c>
      <c r="L123">
        <v>1</v>
      </c>
      <c r="M123">
        <f t="shared" si="2"/>
        <v>1</v>
      </c>
      <c r="N123" t="s">
        <v>1302</v>
      </c>
      <c r="O123" t="s">
        <v>1213</v>
      </c>
      <c r="P123" t="str">
        <f>HYPERLINK(".\links\NR-LIGHT\TI-249-NR-LIGHT.txt","NR-LIGHT")</f>
        <v>NR-LIGHT</v>
      </c>
      <c r="Q123" s="3">
        <v>2.0000000000000001E-53</v>
      </c>
      <c r="R123">
        <v>73.7</v>
      </c>
      <c r="S123" t="str">
        <f>HYPERLINK(".\links\NR-LIGHT\TI-249-NR-LIGHT.txt","PPPDE peptidase domain-containing protein 1-like isoform 1")</f>
        <v>PPPDE peptidase domain-containing protein 1-like isoform 1</v>
      </c>
      <c r="T123" t="str">
        <f>HYPERLINK("http://www.ncbi.nlm.nih.gov/sutils/blink.cgi?pid=328786383","2E-053")</f>
        <v>2E-053</v>
      </c>
      <c r="U123" t="str">
        <f>HYPERLINK("http://www.ncbi.nlm.nih.gov/protein/328786383","gi|328786383")</f>
        <v>gi|328786383</v>
      </c>
      <c r="V123">
        <v>209</v>
      </c>
      <c r="W123">
        <v>149</v>
      </c>
      <c r="X123">
        <v>206</v>
      </c>
      <c r="Y123">
        <v>68</v>
      </c>
      <c r="Z123">
        <v>73</v>
      </c>
      <c r="AA123">
        <v>48</v>
      </c>
      <c r="AB123">
        <v>4</v>
      </c>
      <c r="AC123">
        <v>2</v>
      </c>
      <c r="AD123">
        <v>1</v>
      </c>
      <c r="AE123">
        <v>1</v>
      </c>
      <c r="AF123"/>
      <c r="AG123" t="s">
        <v>13</v>
      </c>
      <c r="AH123" t="s">
        <v>51</v>
      </c>
      <c r="AI123" t="s">
        <v>83</v>
      </c>
      <c r="AJ123" t="str">
        <f>HYPERLINK(".\links\SWISSP\TI-249-SWISSP.txt","PPPDE peptidase domain-containing protein 1 OS=Danio rerio GN=pppde1 PE=2 SV=1")</f>
        <v>PPPDE peptidase domain-containing protein 1 OS=Danio rerio GN=pppde1 PE=2 SV=1</v>
      </c>
      <c r="AK123" t="str">
        <f>HYPERLINK("http://www.uniprot.org/uniprot/Q6DC39","3E-046")</f>
        <v>3E-046</v>
      </c>
      <c r="AL123" t="s">
        <v>172</v>
      </c>
      <c r="AM123">
        <v>184</v>
      </c>
      <c r="AN123">
        <v>121</v>
      </c>
      <c r="AO123">
        <v>196</v>
      </c>
      <c r="AP123">
        <v>64</v>
      </c>
      <c r="AQ123">
        <v>62</v>
      </c>
      <c r="AR123">
        <v>43</v>
      </c>
      <c r="AS123">
        <v>0</v>
      </c>
      <c r="AT123">
        <v>1</v>
      </c>
      <c r="AU123">
        <v>29</v>
      </c>
      <c r="AV123">
        <v>1</v>
      </c>
      <c r="AW123" t="s">
        <v>85</v>
      </c>
      <c r="AX123" t="str">
        <f>HYPERLINK(".\links\PREV-RHOD-PEP\TI-249-PREV-RHOD-PEP.txt","Contig17604_48")</f>
        <v>Contig17604_48</v>
      </c>
      <c r="AY123" s="3">
        <v>9.9999999999999993E-77</v>
      </c>
      <c r="AZ123" t="s">
        <v>1089</v>
      </c>
      <c r="BA123">
        <v>281</v>
      </c>
      <c r="BB123">
        <v>138</v>
      </c>
      <c r="BC123">
        <v>200</v>
      </c>
      <c r="BD123">
        <v>93</v>
      </c>
      <c r="BE123">
        <v>70</v>
      </c>
      <c r="BF123">
        <v>9</v>
      </c>
      <c r="BG123">
        <v>0</v>
      </c>
      <c r="BH123">
        <v>13</v>
      </c>
      <c r="BI123">
        <v>6</v>
      </c>
      <c r="BJ123">
        <v>1</v>
      </c>
      <c r="BK123" t="s">
        <v>735</v>
      </c>
      <c r="BL123">
        <f>HYPERLINK(".\links\GO\TI-249-GO.txt",8E-47)</f>
        <v>7.9999999999999998E-47</v>
      </c>
      <c r="BM123" t="s">
        <v>373</v>
      </c>
      <c r="BN123" t="s">
        <v>373</v>
      </c>
      <c r="BO123"/>
      <c r="BP123" t="s">
        <v>374</v>
      </c>
      <c r="BQ123" s="3">
        <v>7.9999999999999998E-47</v>
      </c>
      <c r="BR123" t="s">
        <v>375</v>
      </c>
      <c r="BS123" t="s">
        <v>375</v>
      </c>
      <c r="BT123"/>
      <c r="BU123" t="s">
        <v>376</v>
      </c>
      <c r="BV123" s="3">
        <v>7.9999999999999998E-47</v>
      </c>
      <c r="BW123" t="s">
        <v>736</v>
      </c>
      <c r="BX123" t="s">
        <v>373</v>
      </c>
      <c r="BY123"/>
      <c r="BZ123" t="s">
        <v>737</v>
      </c>
      <c r="CA123" s="3">
        <v>7.9999999999999998E-47</v>
      </c>
      <c r="CB123" t="s">
        <v>8</v>
      </c>
      <c r="CC123"/>
      <c r="CD123"/>
      <c r="CE123" t="s">
        <v>8</v>
      </c>
      <c r="CF123"/>
      <c r="CG123"/>
      <c r="CH123" t="s">
        <v>8</v>
      </c>
      <c r="CI123"/>
      <c r="CJ123" t="s">
        <v>8</v>
      </c>
      <c r="CK123"/>
      <c r="CL123" t="s">
        <v>8</v>
      </c>
      <c r="CM123"/>
      <c r="CN123" t="s">
        <v>8</v>
      </c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 t="s">
        <v>8</v>
      </c>
      <c r="DC123"/>
      <c r="DD123"/>
      <c r="DE123"/>
      <c r="DF123"/>
      <c r="DG123"/>
      <c r="DH123"/>
      <c r="DI123"/>
      <c r="DJ123"/>
      <c r="DK123"/>
      <c r="DL123"/>
      <c r="DM123"/>
      <c r="DN123"/>
      <c r="DO123"/>
    </row>
    <row r="124" spans="1:119" s="6" customFormat="1">
      <c r="A124" s="6" t="str">
        <f>HYPERLINK(".\links\pep\TI-248-pep.txt","TI-248")</f>
        <v>TI-248</v>
      </c>
      <c r="B124" s="6">
        <v>248</v>
      </c>
      <c r="C124" s="6" t="s">
        <v>11</v>
      </c>
      <c r="D124" s="6">
        <v>42</v>
      </c>
      <c r="E124" s="6">
        <v>0</v>
      </c>
      <c r="F124" s="6" t="str">
        <f>HYPERLINK(".\links\cds\TI-248-cds.txt","TI-248")</f>
        <v>TI-248</v>
      </c>
      <c r="G124" s="6">
        <v>129</v>
      </c>
      <c r="I124" s="6" t="s">
        <v>8</v>
      </c>
      <c r="J124" s="6" t="s">
        <v>6</v>
      </c>
      <c r="K124" s="6">
        <v>0</v>
      </c>
      <c r="L124" s="6">
        <v>1</v>
      </c>
      <c r="M124" s="6">
        <f t="shared" si="2"/>
        <v>1</v>
      </c>
      <c r="N124" s="6" t="s">
        <v>1170</v>
      </c>
      <c r="O124" s="6" t="s">
        <v>1171</v>
      </c>
      <c r="S124" s="6" t="s">
        <v>8</v>
      </c>
      <c r="AJ124" s="6" t="s">
        <v>8</v>
      </c>
      <c r="AX124" s="6" t="s">
        <v>8</v>
      </c>
      <c r="BK124" s="6" t="s">
        <v>8</v>
      </c>
      <c r="CB124" s="6" t="s">
        <v>8</v>
      </c>
      <c r="CE124" s="6" t="s">
        <v>8</v>
      </c>
      <c r="CH124" s="6" t="s">
        <v>8</v>
      </c>
      <c r="CJ124" s="6" t="s">
        <v>8</v>
      </c>
      <c r="CL124" s="6" t="s">
        <v>8</v>
      </c>
      <c r="CN124" s="6" t="s">
        <v>8</v>
      </c>
      <c r="DB124" s="6" t="s">
        <v>8</v>
      </c>
    </row>
    <row r="125" spans="1:119" s="6" customFormat="1">
      <c r="A125" t="str">
        <f>HYPERLINK(".\links\pep\TI-242-pep.txt","TI-242")</f>
        <v>TI-242</v>
      </c>
      <c r="B125">
        <v>242</v>
      </c>
      <c r="C125" t="s">
        <v>16</v>
      </c>
      <c r="D125">
        <v>167</v>
      </c>
      <c r="E125">
        <v>0</v>
      </c>
      <c r="F125" t="str">
        <f>HYPERLINK(".\links\cds\TI-242-cds.txt","TI-242")</f>
        <v>TI-242</v>
      </c>
      <c r="G125">
        <v>499</v>
      </c>
      <c r="H125"/>
      <c r="I125" t="s">
        <v>8</v>
      </c>
      <c r="J125" t="s">
        <v>8</v>
      </c>
      <c r="K125">
        <v>0</v>
      </c>
      <c r="L125">
        <v>2</v>
      </c>
      <c r="M125">
        <f t="shared" si="2"/>
        <v>2</v>
      </c>
      <c r="N125" t="s">
        <v>1298</v>
      </c>
      <c r="O125" t="s">
        <v>1172</v>
      </c>
      <c r="P125" t="str">
        <f>HYPERLINK(".\links\NR-LIGHT\TI-242-NR-LIGHT.txt","NR-LIGHT")</f>
        <v>NR-LIGHT</v>
      </c>
      <c r="Q125" s="3">
        <v>2.0000000000000001E-33</v>
      </c>
      <c r="R125">
        <v>17.899999999999999</v>
      </c>
      <c r="S125" t="str">
        <f>HYPERLINK(".\links\NR-LIGHT\TI-242-NR-LIGHT.txt","putative inorganic phosphate cotransporter-like isoform 1")</f>
        <v>putative inorganic phosphate cotransporter-like isoform 1</v>
      </c>
      <c r="T125" t="str">
        <f>HYPERLINK("http://www.ncbi.nlm.nih.gov/sutils/blink.cgi?pid=328709271","2E-033")</f>
        <v>2E-033</v>
      </c>
      <c r="U125" t="str">
        <f>HYPERLINK("http://www.ncbi.nlm.nih.gov/protein/328709271","gi|328709271")</f>
        <v>gi|328709271</v>
      </c>
      <c r="V125">
        <v>143</v>
      </c>
      <c r="W125">
        <v>110</v>
      </c>
      <c r="X125">
        <v>617</v>
      </c>
      <c r="Y125">
        <v>60</v>
      </c>
      <c r="Z125">
        <v>18</v>
      </c>
      <c r="AA125">
        <v>44</v>
      </c>
      <c r="AB125">
        <v>1</v>
      </c>
      <c r="AC125">
        <v>117</v>
      </c>
      <c r="AD125">
        <v>47</v>
      </c>
      <c r="AE125">
        <v>1</v>
      </c>
      <c r="AF125"/>
      <c r="AG125" t="s">
        <v>13</v>
      </c>
      <c r="AH125" t="s">
        <v>51</v>
      </c>
      <c r="AI125" t="s">
        <v>264</v>
      </c>
      <c r="AJ125" t="str">
        <f>HYPERLINK(".\links\SWISSP\TI-242-SWISSP.txt","Putative inorganic phosphate cotransporter OS=Drosophila melanogaster GN=Picot")</f>
        <v>Putative inorganic phosphate cotransporter OS=Drosophila melanogaster GN=Picot</v>
      </c>
      <c r="AK125" t="str">
        <f>HYPERLINK("http://www.uniprot.org/uniprot/Q9V7S5","2E-024")</f>
        <v>2E-024</v>
      </c>
      <c r="AL125" t="s">
        <v>50</v>
      </c>
      <c r="AM125">
        <v>111</v>
      </c>
      <c r="AN125">
        <v>93</v>
      </c>
      <c r="AO125">
        <v>529</v>
      </c>
      <c r="AP125">
        <v>56</v>
      </c>
      <c r="AQ125">
        <v>18</v>
      </c>
      <c r="AR125">
        <v>43</v>
      </c>
      <c r="AS125">
        <v>6</v>
      </c>
      <c r="AT125">
        <v>37</v>
      </c>
      <c r="AU125">
        <v>59</v>
      </c>
      <c r="AV125">
        <v>1</v>
      </c>
      <c r="AW125" t="s">
        <v>52</v>
      </c>
      <c r="AX125" t="str">
        <f>HYPERLINK(".\links\PREV-RHOD-PEP\TI-242-PREV-RHOD-PEP.txt","Contig17873_2")</f>
        <v>Contig17873_2</v>
      </c>
      <c r="AY125" s="3">
        <v>1E-46</v>
      </c>
      <c r="AZ125" t="s">
        <v>983</v>
      </c>
      <c r="BA125">
        <v>181</v>
      </c>
      <c r="BB125">
        <v>100</v>
      </c>
      <c r="BC125">
        <v>466</v>
      </c>
      <c r="BD125">
        <v>82</v>
      </c>
      <c r="BE125">
        <v>22</v>
      </c>
      <c r="BF125">
        <v>18</v>
      </c>
      <c r="BG125">
        <v>0</v>
      </c>
      <c r="BH125">
        <v>36</v>
      </c>
      <c r="BI125">
        <v>56</v>
      </c>
      <c r="BJ125">
        <v>1</v>
      </c>
      <c r="BK125" t="s">
        <v>317</v>
      </c>
      <c r="BL125">
        <f>HYPERLINK(".\links\GO\TI-242-GO.txt",5E-25)</f>
        <v>4.9999999999999996E-25</v>
      </c>
      <c r="BM125" t="s">
        <v>318</v>
      </c>
      <c r="BN125" t="s">
        <v>319</v>
      </c>
      <c r="BO125" t="s">
        <v>320</v>
      </c>
      <c r="BP125" t="s">
        <v>321</v>
      </c>
      <c r="BQ125" s="3">
        <v>4.9999999999999996E-25</v>
      </c>
      <c r="BR125" t="s">
        <v>322</v>
      </c>
      <c r="BS125" t="s">
        <v>323</v>
      </c>
      <c r="BT125" t="s">
        <v>324</v>
      </c>
      <c r="BU125" t="s">
        <v>325</v>
      </c>
      <c r="BV125" s="3">
        <v>4.9999999999999996E-25</v>
      </c>
      <c r="BW125" t="s">
        <v>326</v>
      </c>
      <c r="BX125" t="s">
        <v>319</v>
      </c>
      <c r="BY125" t="s">
        <v>320</v>
      </c>
      <c r="BZ125" t="s">
        <v>327</v>
      </c>
      <c r="CA125" s="3">
        <v>4.9999999999999996E-25</v>
      </c>
      <c r="CB125" t="s">
        <v>8</v>
      </c>
      <c r="CC125"/>
      <c r="CD125"/>
      <c r="CE125" t="s">
        <v>8</v>
      </c>
      <c r="CF125"/>
      <c r="CG125"/>
      <c r="CH125" t="s">
        <v>8</v>
      </c>
      <c r="CI125"/>
      <c r="CJ125" t="s">
        <v>8</v>
      </c>
      <c r="CK125"/>
      <c r="CL125" t="s">
        <v>8</v>
      </c>
      <c r="CM125"/>
      <c r="CN125" t="s">
        <v>8</v>
      </c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 t="s">
        <v>8</v>
      </c>
      <c r="DC125"/>
      <c r="DD125"/>
      <c r="DE125"/>
      <c r="DF125"/>
      <c r="DG125"/>
      <c r="DH125"/>
      <c r="DI125"/>
      <c r="DJ125"/>
      <c r="DK125"/>
      <c r="DL125"/>
      <c r="DM125"/>
      <c r="DN125"/>
      <c r="DO125"/>
    </row>
    <row r="126" spans="1:119" s="6" customFormat="1">
      <c r="A126" t="str">
        <f>HYPERLINK(".\links\pep\TI-231-pep.txt","TI-231")</f>
        <v>TI-231</v>
      </c>
      <c r="B126">
        <v>231</v>
      </c>
      <c r="C126" t="s">
        <v>7</v>
      </c>
      <c r="D126">
        <v>143</v>
      </c>
      <c r="E126">
        <v>0</v>
      </c>
      <c r="F126" t="str">
        <f>HYPERLINK(".\links\cds\TI-231-cds.txt","TI-231")</f>
        <v>TI-231</v>
      </c>
      <c r="G126">
        <v>432</v>
      </c>
      <c r="H126"/>
      <c r="I126" t="s">
        <v>29</v>
      </c>
      <c r="J126" t="s">
        <v>6</v>
      </c>
      <c r="K126">
        <v>1</v>
      </c>
      <c r="L126">
        <v>6</v>
      </c>
      <c r="M126">
        <f t="shared" si="2"/>
        <v>5</v>
      </c>
      <c r="N126" t="s">
        <v>1205</v>
      </c>
      <c r="O126" t="s">
        <v>1178</v>
      </c>
      <c r="P126" t="str">
        <f>HYPERLINK(".\links\NR-LIGHT\TI-231-NR-LIGHT.txt","NR-LIGHT")</f>
        <v>NR-LIGHT</v>
      </c>
      <c r="Q126" s="3">
        <v>9.9999999999999997E-61</v>
      </c>
      <c r="R126">
        <v>91.7</v>
      </c>
      <c r="S126" t="str">
        <f>HYPERLINK(".\links\NR-LIGHT\TI-231-NR-LIGHT.txt","hypothetical protein")</f>
        <v>hypothetical protein</v>
      </c>
      <c r="T126" t="str">
        <f>HYPERLINK("http://www.ncbi.nlm.nih.gov/sutils/blink.cgi?pid=149898792","1E-060")</f>
        <v>1E-060</v>
      </c>
      <c r="U126" t="str">
        <f>HYPERLINK("http://www.ncbi.nlm.nih.gov/protein/149898792","gi|149898792")</f>
        <v>gi|149898792</v>
      </c>
      <c r="V126">
        <v>233</v>
      </c>
      <c r="W126">
        <v>122</v>
      </c>
      <c r="X126">
        <v>134</v>
      </c>
      <c r="Y126">
        <v>92</v>
      </c>
      <c r="Z126">
        <v>92</v>
      </c>
      <c r="AA126">
        <v>9</v>
      </c>
      <c r="AB126">
        <v>0</v>
      </c>
      <c r="AC126">
        <v>1</v>
      </c>
      <c r="AD126">
        <v>1</v>
      </c>
      <c r="AE126">
        <v>1</v>
      </c>
      <c r="AF126"/>
      <c r="AG126" t="s">
        <v>13</v>
      </c>
      <c r="AH126" t="s">
        <v>51</v>
      </c>
      <c r="AI126" t="s">
        <v>273</v>
      </c>
      <c r="AJ126" t="s">
        <v>8</v>
      </c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 t="str">
        <f>HYPERLINK(".\links\PREV-RHOD-PEP\TI-231-PREV-RHOD-PEP.txt","Contig17706_41")</f>
        <v>Contig17706_41</v>
      </c>
      <c r="AY126" s="3">
        <v>2E-45</v>
      </c>
      <c r="AZ126" t="s">
        <v>1085</v>
      </c>
      <c r="BA126">
        <v>177</v>
      </c>
      <c r="BB126">
        <v>95</v>
      </c>
      <c r="BC126">
        <v>126</v>
      </c>
      <c r="BD126">
        <v>88</v>
      </c>
      <c r="BE126">
        <v>76</v>
      </c>
      <c r="BF126">
        <v>11</v>
      </c>
      <c r="BG126">
        <v>0</v>
      </c>
      <c r="BH126">
        <v>1</v>
      </c>
      <c r="BI126">
        <v>1</v>
      </c>
      <c r="BJ126">
        <v>1</v>
      </c>
      <c r="BK126" t="s">
        <v>728</v>
      </c>
      <c r="BL126">
        <f>HYPERLINK(".\links\GO\TI-231-GO.txt",2E-29)</f>
        <v>1.9999999999999999E-29</v>
      </c>
      <c r="BM126" t="s">
        <v>8</v>
      </c>
      <c r="BN126" t="s">
        <v>8</v>
      </c>
      <c r="BO126" t="s">
        <v>8</v>
      </c>
      <c r="BP126" t="s">
        <v>8</v>
      </c>
      <c r="BQ126" t="s">
        <v>8</v>
      </c>
      <c r="BR126" t="s">
        <v>8</v>
      </c>
      <c r="BS126" t="s">
        <v>8</v>
      </c>
      <c r="BT126" t="s">
        <v>8</v>
      </c>
      <c r="BU126" t="s">
        <v>8</v>
      </c>
      <c r="BV126" t="s">
        <v>8</v>
      </c>
      <c r="BW126" t="s">
        <v>729</v>
      </c>
      <c r="BX126" t="s">
        <v>444</v>
      </c>
      <c r="BY126" t="s">
        <v>445</v>
      </c>
      <c r="BZ126" t="s">
        <v>730</v>
      </c>
      <c r="CA126" s="3">
        <v>1.9999999999999999E-29</v>
      </c>
      <c r="CB126" t="s">
        <v>8</v>
      </c>
      <c r="CC126"/>
      <c r="CD126"/>
      <c r="CE126" t="s">
        <v>8</v>
      </c>
      <c r="CF126"/>
      <c r="CG126"/>
      <c r="CH126" t="s">
        <v>8</v>
      </c>
      <c r="CI126"/>
      <c r="CJ126" t="s">
        <v>8</v>
      </c>
      <c r="CK126"/>
      <c r="CL126" t="s">
        <v>8</v>
      </c>
      <c r="CM126"/>
      <c r="CN126" t="s">
        <v>8</v>
      </c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 t="s">
        <v>8</v>
      </c>
      <c r="DC126"/>
      <c r="DD126"/>
      <c r="DE126"/>
      <c r="DF126"/>
      <c r="DG126"/>
      <c r="DH126"/>
      <c r="DI126"/>
      <c r="DJ126"/>
      <c r="DK126"/>
      <c r="DL126"/>
      <c r="DM126"/>
      <c r="DN126"/>
      <c r="DO126"/>
    </row>
    <row r="127" spans="1:119" s="6" customFormat="1">
      <c r="A127" t="str">
        <f>HYPERLINK(".\links\pep\TI-217-pep.txt","TI-217")</f>
        <v>TI-217</v>
      </c>
      <c r="B127">
        <v>217</v>
      </c>
      <c r="C127" t="s">
        <v>22</v>
      </c>
      <c r="D127">
        <v>180</v>
      </c>
      <c r="E127">
        <v>0</v>
      </c>
      <c r="F127" t="str">
        <f>HYPERLINK(".\links\cds\TI-217-cds.txt","TI-217")</f>
        <v>TI-217</v>
      </c>
      <c r="G127">
        <v>538</v>
      </c>
      <c r="H127"/>
      <c r="I127" t="s">
        <v>8</v>
      </c>
      <c r="J127" t="s">
        <v>8</v>
      </c>
      <c r="K127">
        <v>0</v>
      </c>
      <c r="L127">
        <v>3</v>
      </c>
      <c r="M127">
        <f t="shared" si="2"/>
        <v>3</v>
      </c>
      <c r="N127" t="s">
        <v>1216</v>
      </c>
      <c r="O127" t="s">
        <v>1203</v>
      </c>
      <c r="P127" t="str">
        <f>HYPERLINK(".\links\NR-LIGHT\TI-217-NR-LIGHT.txt","NR-LIGHT")</f>
        <v>NR-LIGHT</v>
      </c>
      <c r="Q127" s="3">
        <v>1.9999999999999999E-39</v>
      </c>
      <c r="R127">
        <v>39</v>
      </c>
      <c r="S127" t="str">
        <f>HYPERLINK(".\links\NR-LIGHT\TI-217-NR-LIGHT.txt","truncated histone H1")</f>
        <v>truncated histone H1</v>
      </c>
      <c r="T127" t="str">
        <f>HYPERLINK("http://www.ncbi.nlm.nih.gov/sutils/blink.cgi?pid=149689210","2E-039")</f>
        <v>2E-039</v>
      </c>
      <c r="U127" t="str">
        <f>HYPERLINK("http://www.ncbi.nlm.nih.gov/protein/149689210","gi|149689210")</f>
        <v>gi|149689210</v>
      </c>
      <c r="V127">
        <v>163</v>
      </c>
      <c r="W127">
        <v>76</v>
      </c>
      <c r="X127">
        <v>197</v>
      </c>
      <c r="Y127">
        <v>98</v>
      </c>
      <c r="Z127">
        <v>39</v>
      </c>
      <c r="AA127">
        <v>1</v>
      </c>
      <c r="AB127">
        <v>0</v>
      </c>
      <c r="AC127">
        <v>40</v>
      </c>
      <c r="AD127">
        <v>29</v>
      </c>
      <c r="AE127">
        <v>1</v>
      </c>
      <c r="AF127"/>
      <c r="AG127" t="s">
        <v>13</v>
      </c>
      <c r="AH127" t="s">
        <v>51</v>
      </c>
      <c r="AI127" t="s">
        <v>273</v>
      </c>
      <c r="AJ127" t="str">
        <f>HYPERLINK(".\links\SWISSP\TI-217-SWISSP.txt","Histone H1 OS=Drosophila melanogaster GN=His1 PE=1 SV=1")</f>
        <v>Histone H1 OS=Drosophila melanogaster GN=His1 PE=1 SV=1</v>
      </c>
      <c r="AK127" t="str">
        <f>HYPERLINK("http://www.uniprot.org/uniprot/P02255","3E-025")</f>
        <v>3E-025</v>
      </c>
      <c r="AL127" t="s">
        <v>163</v>
      </c>
      <c r="AM127">
        <v>114</v>
      </c>
      <c r="AN127">
        <v>74</v>
      </c>
      <c r="AO127">
        <v>256</v>
      </c>
      <c r="AP127">
        <v>68</v>
      </c>
      <c r="AQ127">
        <v>29</v>
      </c>
      <c r="AR127">
        <v>24</v>
      </c>
      <c r="AS127">
        <v>0</v>
      </c>
      <c r="AT127">
        <v>46</v>
      </c>
      <c r="AU127">
        <v>29</v>
      </c>
      <c r="AV127">
        <v>1</v>
      </c>
      <c r="AW127" t="s">
        <v>52</v>
      </c>
      <c r="AX127" t="str">
        <f>HYPERLINK(".\links\PREV-RHOD-PEP\TI-217-PREV-RHOD-PEP.txt","Contig18070_21")</f>
        <v>Contig18070_21</v>
      </c>
      <c r="AY127" s="3">
        <v>1.0000000000000001E-37</v>
      </c>
      <c r="AZ127" t="s">
        <v>1081</v>
      </c>
      <c r="BA127">
        <v>151</v>
      </c>
      <c r="BB127">
        <v>75</v>
      </c>
      <c r="BC127">
        <v>208</v>
      </c>
      <c r="BD127">
        <v>94</v>
      </c>
      <c r="BE127">
        <v>37</v>
      </c>
      <c r="BF127">
        <v>4</v>
      </c>
      <c r="BG127">
        <v>0</v>
      </c>
      <c r="BH127">
        <v>41</v>
      </c>
      <c r="BI127">
        <v>29</v>
      </c>
      <c r="BJ127">
        <v>1</v>
      </c>
      <c r="BK127" t="s">
        <v>709</v>
      </c>
      <c r="BL127">
        <f>HYPERLINK(".\links\GO\TI-217-GO.txt",8E-26)</f>
        <v>8.0000000000000003E-26</v>
      </c>
      <c r="BM127" t="s">
        <v>467</v>
      </c>
      <c r="BN127" t="s">
        <v>340</v>
      </c>
      <c r="BO127" t="s">
        <v>468</v>
      </c>
      <c r="BP127" t="s">
        <v>469</v>
      </c>
      <c r="BQ127" s="3">
        <v>8.0000000000000003E-26</v>
      </c>
      <c r="BR127" t="s">
        <v>447</v>
      </c>
      <c r="BS127" t="s">
        <v>323</v>
      </c>
      <c r="BT127" t="s">
        <v>334</v>
      </c>
      <c r="BU127" t="s">
        <v>448</v>
      </c>
      <c r="BV127" s="3">
        <v>8.0000000000000003E-26</v>
      </c>
      <c r="BW127" t="s">
        <v>710</v>
      </c>
      <c r="BX127" t="s">
        <v>340</v>
      </c>
      <c r="BY127" t="s">
        <v>468</v>
      </c>
      <c r="BZ127" t="s">
        <v>711</v>
      </c>
      <c r="CA127" s="3">
        <v>8.0000000000000003E-26</v>
      </c>
      <c r="CB127" t="s">
        <v>8</v>
      </c>
      <c r="CC127"/>
      <c r="CD127"/>
      <c r="CE127" t="s">
        <v>8</v>
      </c>
      <c r="CF127"/>
      <c r="CG127"/>
      <c r="CH127" t="s">
        <v>8</v>
      </c>
      <c r="CI127"/>
      <c r="CJ127" t="s">
        <v>8</v>
      </c>
      <c r="CK127"/>
      <c r="CL127" t="s">
        <v>8</v>
      </c>
      <c r="CM127"/>
      <c r="CN127" t="s">
        <v>8</v>
      </c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 t="s">
        <v>8</v>
      </c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s="6" customFormat="1">
      <c r="A128" t="str">
        <f>HYPERLINK(".\links\pep\TI-216-pep.txt","TI-216")</f>
        <v>TI-216</v>
      </c>
      <c r="B128">
        <v>216</v>
      </c>
      <c r="C128" t="s">
        <v>7</v>
      </c>
      <c r="D128">
        <v>58</v>
      </c>
      <c r="E128">
        <v>0</v>
      </c>
      <c r="F128" t="str">
        <f>HYPERLINK(".\links\cds\TI-216-cds.txt","TI-216")</f>
        <v>TI-216</v>
      </c>
      <c r="G128">
        <v>177</v>
      </c>
      <c r="H128"/>
      <c r="I128" t="s">
        <v>29</v>
      </c>
      <c r="J128" t="s">
        <v>6</v>
      </c>
      <c r="K128">
        <v>0</v>
      </c>
      <c r="L128">
        <v>2</v>
      </c>
      <c r="M128">
        <f t="shared" si="2"/>
        <v>2</v>
      </c>
      <c r="N128" t="s">
        <v>1205</v>
      </c>
      <c r="O128" t="s">
        <v>1178</v>
      </c>
      <c r="P128" t="str">
        <f>HYPERLINK(".\links\NR-LIGHT\TI-216-NR-LIGHT.txt","NR-LIGHT")</f>
        <v>NR-LIGHT</v>
      </c>
      <c r="Q128" s="3">
        <v>4.0000000000000002E-26</v>
      </c>
      <c r="R128">
        <v>100</v>
      </c>
      <c r="S128" t="str">
        <f>HYPERLINK(".\links\NR-LIGHT\TI-216-NR-LIGHT.txt","hypothetical protein")</f>
        <v>hypothetical protein</v>
      </c>
      <c r="T128" t="str">
        <f>HYPERLINK("http://www.ncbi.nlm.nih.gov/sutils/blink.cgi?pid=111379887","4E-026")</f>
        <v>4E-026</v>
      </c>
      <c r="U128" t="str">
        <f>HYPERLINK("http://www.ncbi.nlm.nih.gov/protein/111379887","gi|111379887")</f>
        <v>gi|111379887</v>
      </c>
      <c r="V128">
        <v>119</v>
      </c>
      <c r="W128">
        <v>57</v>
      </c>
      <c r="X128">
        <v>58</v>
      </c>
      <c r="Y128">
        <v>96</v>
      </c>
      <c r="Z128">
        <v>100</v>
      </c>
      <c r="AA128">
        <v>2</v>
      </c>
      <c r="AB128">
        <v>0</v>
      </c>
      <c r="AC128">
        <v>1</v>
      </c>
      <c r="AD128">
        <v>1</v>
      </c>
      <c r="AE128">
        <v>1</v>
      </c>
      <c r="AF128"/>
      <c r="AG128" t="s">
        <v>13</v>
      </c>
      <c r="AH128" t="s">
        <v>51</v>
      </c>
      <c r="AI128" t="s">
        <v>285</v>
      </c>
      <c r="AJ128" t="s">
        <v>8</v>
      </c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 t="str">
        <f>HYPERLINK(".\links\PREV-RHOD-PEP\TI-216-PREV-RHOD-PEP.txt","Contig17907_20")</f>
        <v>Contig17907_20</v>
      </c>
      <c r="AY128" s="3">
        <v>9.9999999999999996E-24</v>
      </c>
      <c r="AZ128" t="s">
        <v>1080</v>
      </c>
      <c r="BA128">
        <v>104</v>
      </c>
      <c r="BB128">
        <v>58</v>
      </c>
      <c r="BC128">
        <v>95</v>
      </c>
      <c r="BD128">
        <v>79</v>
      </c>
      <c r="BE128">
        <v>62</v>
      </c>
      <c r="BF128">
        <v>12</v>
      </c>
      <c r="BG128">
        <v>1</v>
      </c>
      <c r="BH128">
        <v>37</v>
      </c>
      <c r="BI128">
        <v>1</v>
      </c>
      <c r="BJ128">
        <v>1</v>
      </c>
      <c r="BK128" t="s">
        <v>706</v>
      </c>
      <c r="BL128">
        <f>HYPERLINK(".\links\GO\TI-216-GO.txt",0.00000004)</f>
        <v>4.0000000000000001E-8</v>
      </c>
      <c r="BM128" t="s">
        <v>8</v>
      </c>
      <c r="BN128" t="s">
        <v>8</v>
      </c>
      <c r="BO128" t="s">
        <v>8</v>
      </c>
      <c r="BP128" t="s">
        <v>8</v>
      </c>
      <c r="BQ128" t="s">
        <v>8</v>
      </c>
      <c r="BR128" t="s">
        <v>707</v>
      </c>
      <c r="BS128" t="s">
        <v>323</v>
      </c>
      <c r="BT128" t="s">
        <v>334</v>
      </c>
      <c r="BU128" t="s">
        <v>708</v>
      </c>
      <c r="BV128">
        <v>4.0000000000000001E-8</v>
      </c>
      <c r="BW128" t="s">
        <v>8</v>
      </c>
      <c r="BX128" t="s">
        <v>8</v>
      </c>
      <c r="BY128" t="s">
        <v>8</v>
      </c>
      <c r="BZ128" t="s">
        <v>8</v>
      </c>
      <c r="CA128" t="s">
        <v>8</v>
      </c>
      <c r="CB128" t="s">
        <v>8</v>
      </c>
      <c r="CC128"/>
      <c r="CD128"/>
      <c r="CE128" t="s">
        <v>8</v>
      </c>
      <c r="CF128"/>
      <c r="CG128"/>
      <c r="CH128" t="s">
        <v>8</v>
      </c>
      <c r="CI128"/>
      <c r="CJ128" t="s">
        <v>8</v>
      </c>
      <c r="CK128"/>
      <c r="CL128" t="s">
        <v>8</v>
      </c>
      <c r="CM128"/>
      <c r="CN128" t="s">
        <v>8</v>
      </c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 t="s">
        <v>8</v>
      </c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s="6" customFormat="1">
      <c r="A129" t="str">
        <f>HYPERLINK(".\links\pep\TI-209-pep.txt","TI-209")</f>
        <v>TI-209</v>
      </c>
      <c r="B129">
        <v>209</v>
      </c>
      <c r="C129" t="s">
        <v>22</v>
      </c>
      <c r="D129">
        <v>66</v>
      </c>
      <c r="E129">
        <v>0</v>
      </c>
      <c r="F129" t="str">
        <f>HYPERLINK(".\links\cds\TI-209-cds.txt","TI-209")</f>
        <v>TI-209</v>
      </c>
      <c r="G129">
        <v>201</v>
      </c>
      <c r="H129"/>
      <c r="I129" t="s">
        <v>8</v>
      </c>
      <c r="J129" t="s">
        <v>6</v>
      </c>
      <c r="K129">
        <v>0</v>
      </c>
      <c r="L129">
        <v>2</v>
      </c>
      <c r="M129">
        <f t="shared" si="2"/>
        <v>2</v>
      </c>
      <c r="N129" t="s">
        <v>1293</v>
      </c>
      <c r="O129" t="s">
        <v>1178</v>
      </c>
      <c r="P129" t="str">
        <f>HYPERLINK(".\links\NR-LIGHT\TI-209-NR-LIGHT.txt","NR-LIGHT")</f>
        <v>NR-LIGHT</v>
      </c>
      <c r="Q129" s="3">
        <v>4.0000000000000002E-26</v>
      </c>
      <c r="R129">
        <v>50.4</v>
      </c>
      <c r="S129" t="str">
        <f>HYPERLINK(".\links\NR-LIGHT\TI-209-NR-LIGHT.txt","Senescence-associated protein")</f>
        <v>Senescence-associated protein</v>
      </c>
      <c r="T129" t="str">
        <f>HYPERLINK("http://www.ncbi.nlm.nih.gov/sutils/blink.cgi?pid=170591136","4E-026")</f>
        <v>4E-026</v>
      </c>
      <c r="U129" t="str">
        <f>HYPERLINK("http://www.ncbi.nlm.nih.gov/protein/170591136","gi|170591136")</f>
        <v>gi|170591136</v>
      </c>
      <c r="V129">
        <v>119</v>
      </c>
      <c r="W129">
        <v>60</v>
      </c>
      <c r="X129">
        <v>121</v>
      </c>
      <c r="Y129">
        <v>90</v>
      </c>
      <c r="Z129">
        <v>50</v>
      </c>
      <c r="AA129">
        <v>6</v>
      </c>
      <c r="AB129">
        <v>0</v>
      </c>
      <c r="AC129">
        <v>1</v>
      </c>
      <c r="AD129">
        <v>1</v>
      </c>
      <c r="AE129">
        <v>1</v>
      </c>
      <c r="AF129"/>
      <c r="AG129" t="s">
        <v>13</v>
      </c>
      <c r="AH129" t="s">
        <v>51</v>
      </c>
      <c r="AI129" t="s">
        <v>284</v>
      </c>
      <c r="AJ129" t="s">
        <v>8</v>
      </c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 t="str">
        <f>HYPERLINK(".\links\PREV-RHOD-PEP\TI-209-PREV-RHOD-PEP.txt","Contig8150_1")</f>
        <v>Contig8150_1</v>
      </c>
      <c r="AY129" s="3">
        <v>4.0000000000000003E-15</v>
      </c>
      <c r="AZ129" t="s">
        <v>1077</v>
      </c>
      <c r="BA129">
        <v>76.3</v>
      </c>
      <c r="BB129">
        <v>34</v>
      </c>
      <c r="BC129">
        <v>35</v>
      </c>
      <c r="BD129">
        <v>100</v>
      </c>
      <c r="BE129">
        <v>100</v>
      </c>
      <c r="BF129">
        <v>0</v>
      </c>
      <c r="BG129">
        <v>0</v>
      </c>
      <c r="BH129">
        <v>1</v>
      </c>
      <c r="BI129">
        <v>32</v>
      </c>
      <c r="BJ129">
        <v>1</v>
      </c>
      <c r="BK129" t="s">
        <v>8</v>
      </c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 t="s">
        <v>8</v>
      </c>
      <c r="CC129"/>
      <c r="CD129"/>
      <c r="CE129" t="s">
        <v>8</v>
      </c>
      <c r="CF129"/>
      <c r="CG129"/>
      <c r="CH129" t="s">
        <v>8</v>
      </c>
      <c r="CI129"/>
      <c r="CJ129" t="s">
        <v>8</v>
      </c>
      <c r="CK129"/>
      <c r="CL129" t="s">
        <v>8</v>
      </c>
      <c r="CM129"/>
      <c r="CN129" t="s">
        <v>8</v>
      </c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 t="str">
        <f>HYPERLINK(".\links\RRNA\TI-209-RRNA.txt","Spirometra erinacei 28S rRNA, partial sequence, clone:S02SEP")</f>
        <v>Spirometra erinacei 28S rRNA, partial sequence, clone:S02SEP</v>
      </c>
      <c r="DC129" t="str">
        <f>HYPERLINK("http://www.ncbi.nlm.nih.gov/entrez/viewer.fcgi?db=nucleotide&amp;val=4958943","8E-096")</f>
        <v>8E-096</v>
      </c>
      <c r="DD129" t="str">
        <f>HYPERLINK("http://www.ncbi.nlm.nih.gov/entrez/viewer.fcgi?db=nucleotide&amp;val=4958943","gi|4958943")</f>
        <v>gi|4958943</v>
      </c>
      <c r="DE129">
        <v>347</v>
      </c>
      <c r="DF129">
        <v>198</v>
      </c>
      <c r="DG129">
        <v>718</v>
      </c>
      <c r="DH129">
        <v>96</v>
      </c>
      <c r="DI129">
        <v>28</v>
      </c>
      <c r="DJ129">
        <v>6</v>
      </c>
      <c r="DK129">
        <v>0</v>
      </c>
      <c r="DL129">
        <v>278</v>
      </c>
      <c r="DM129">
        <v>1</v>
      </c>
      <c r="DN129">
        <v>1</v>
      </c>
      <c r="DO129" t="s">
        <v>51</v>
      </c>
    </row>
    <row r="130" spans="1:119" s="6" customFormat="1">
      <c r="A130" t="str">
        <f>HYPERLINK(".\links\pep\TI-207-pep.txt","TI-207")</f>
        <v>TI-207</v>
      </c>
      <c r="B130">
        <v>207</v>
      </c>
      <c r="C130" t="s">
        <v>7</v>
      </c>
      <c r="D130">
        <v>83</v>
      </c>
      <c r="E130">
        <v>0</v>
      </c>
      <c r="F130" t="str">
        <f>HYPERLINK(".\links\cds\TI-207-cds.txt","TI-207")</f>
        <v>TI-207</v>
      </c>
      <c r="G130">
        <v>252</v>
      </c>
      <c r="H130"/>
      <c r="I130" t="s">
        <v>29</v>
      </c>
      <c r="J130" t="s">
        <v>6</v>
      </c>
      <c r="K130">
        <v>0</v>
      </c>
      <c r="L130">
        <v>1</v>
      </c>
      <c r="M130">
        <f t="shared" si="2"/>
        <v>1</v>
      </c>
      <c r="N130" t="s">
        <v>1292</v>
      </c>
      <c r="O130" t="s">
        <v>1169</v>
      </c>
      <c r="P130" t="str">
        <f>HYPERLINK(".\links\SWISSP\TI-207-SWISSP.txt","SWISSP")</f>
        <v>SWISSP</v>
      </c>
      <c r="Q130" s="3">
        <v>6.9999999999999999E-35</v>
      </c>
      <c r="R130">
        <v>98</v>
      </c>
      <c r="S130" t="str">
        <f>HYPERLINK(".\links\NR-LIGHT\TI-207-NR-LIGHT.txt","similar to ribosomal protein S21e")</f>
        <v>similar to ribosomal protein S21e</v>
      </c>
      <c r="T130" t="str">
        <f>HYPERLINK("http://www.ncbi.nlm.nih.gov/sutils/blink.cgi?pid=91093173","1E-034")</f>
        <v>1E-034</v>
      </c>
      <c r="U130" t="str">
        <f>HYPERLINK("http://www.ncbi.nlm.nih.gov/protein/91093173","gi|91093173")</f>
        <v>gi|91093173</v>
      </c>
      <c r="V130">
        <v>147</v>
      </c>
      <c r="W130">
        <v>82</v>
      </c>
      <c r="X130">
        <v>83</v>
      </c>
      <c r="Y130">
        <v>81</v>
      </c>
      <c r="Z130">
        <v>100</v>
      </c>
      <c r="AA130">
        <v>15</v>
      </c>
      <c r="AB130">
        <v>0</v>
      </c>
      <c r="AC130">
        <v>1</v>
      </c>
      <c r="AD130">
        <v>1</v>
      </c>
      <c r="AE130">
        <v>1</v>
      </c>
      <c r="AF130"/>
      <c r="AG130" t="s">
        <v>13</v>
      </c>
      <c r="AH130" t="s">
        <v>51</v>
      </c>
      <c r="AI130" t="s">
        <v>266</v>
      </c>
      <c r="AJ130" t="str">
        <f>HYPERLINK(".\links\SWISSP\TI-207-SWISSP.txt","40S ribosomal protein S21 OS=Spodoptera frugiperda GN=RpS21 PE=3 SV=1")</f>
        <v>40S ribosomal protein S21 OS=Spodoptera frugiperda GN=RpS21 PE=3 SV=1</v>
      </c>
      <c r="AK130" t="str">
        <f>HYPERLINK("http://www.uniprot.org/uniprot/Q962Q8","7E-035")</f>
        <v>7E-035</v>
      </c>
      <c r="AL130" t="s">
        <v>57</v>
      </c>
      <c r="AM130">
        <v>145</v>
      </c>
      <c r="AN130">
        <v>81</v>
      </c>
      <c r="AO130">
        <v>83</v>
      </c>
      <c r="AP130">
        <v>80</v>
      </c>
      <c r="AQ130">
        <v>99</v>
      </c>
      <c r="AR130">
        <v>16</v>
      </c>
      <c r="AS130">
        <v>0</v>
      </c>
      <c r="AT130">
        <v>1</v>
      </c>
      <c r="AU130">
        <v>1</v>
      </c>
      <c r="AV130">
        <v>1</v>
      </c>
      <c r="AW130" t="s">
        <v>58</v>
      </c>
      <c r="AX130" t="str">
        <f>HYPERLINK(".\links\PREV-RHOD-PEP\TI-207-PREV-RHOD-PEP.txt","Contig17739_5")</f>
        <v>Contig17739_5</v>
      </c>
      <c r="AY130" s="3">
        <v>3.0000000000000003E-42</v>
      </c>
      <c r="AZ130" t="s">
        <v>988</v>
      </c>
      <c r="BA130">
        <v>166</v>
      </c>
      <c r="BB130">
        <v>80</v>
      </c>
      <c r="BC130">
        <v>81</v>
      </c>
      <c r="BD130">
        <v>97</v>
      </c>
      <c r="BE130">
        <v>100</v>
      </c>
      <c r="BF130">
        <v>2</v>
      </c>
      <c r="BG130">
        <v>0</v>
      </c>
      <c r="BH130">
        <v>1</v>
      </c>
      <c r="BI130">
        <v>1</v>
      </c>
      <c r="BJ130">
        <v>1</v>
      </c>
      <c r="BK130" t="s">
        <v>355</v>
      </c>
      <c r="BL130">
        <f>HYPERLINK(".\links\GO\TI-207-GO.txt",5E-33)</f>
        <v>5.0000000000000003E-33</v>
      </c>
      <c r="BM130" t="s">
        <v>329</v>
      </c>
      <c r="BN130" t="s">
        <v>330</v>
      </c>
      <c r="BO130" t="s">
        <v>331</v>
      </c>
      <c r="BP130" t="s">
        <v>332</v>
      </c>
      <c r="BQ130" s="3">
        <v>5.0000000000000003E-33</v>
      </c>
      <c r="BR130" t="s">
        <v>356</v>
      </c>
      <c r="BS130" t="s">
        <v>323</v>
      </c>
      <c r="BT130" t="s">
        <v>334</v>
      </c>
      <c r="BU130" t="s">
        <v>357</v>
      </c>
      <c r="BV130" s="3">
        <v>5.0000000000000003E-33</v>
      </c>
      <c r="BW130" t="s">
        <v>358</v>
      </c>
      <c r="BX130" t="s">
        <v>330</v>
      </c>
      <c r="BY130" t="s">
        <v>331</v>
      </c>
      <c r="BZ130" t="s">
        <v>359</v>
      </c>
      <c r="CA130" s="3">
        <v>5.0000000000000003E-33</v>
      </c>
      <c r="CB130" t="s">
        <v>8</v>
      </c>
      <c r="CC130"/>
      <c r="CD130"/>
      <c r="CE130" t="s">
        <v>8</v>
      </c>
      <c r="CF130"/>
      <c r="CG130"/>
      <c r="CH130" t="s">
        <v>8</v>
      </c>
      <c r="CI130"/>
      <c r="CJ130" t="s">
        <v>8</v>
      </c>
      <c r="CK130"/>
      <c r="CL130" t="s">
        <v>8</v>
      </c>
      <c r="CM130"/>
      <c r="CN130" t="s">
        <v>8</v>
      </c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 t="s">
        <v>8</v>
      </c>
      <c r="DC130"/>
      <c r="DD130"/>
      <c r="DE130"/>
      <c r="DF130"/>
      <c r="DG130"/>
      <c r="DH130"/>
      <c r="DI130"/>
      <c r="DJ130"/>
      <c r="DK130"/>
      <c r="DL130"/>
      <c r="DM130"/>
      <c r="DN130"/>
      <c r="DO130"/>
    </row>
    <row r="131" spans="1:119" s="6" customFormat="1">
      <c r="A131" t="str">
        <f>HYPERLINK(".\links\pep\TI-206-pep.txt","TI-206")</f>
        <v>TI-206</v>
      </c>
      <c r="B131">
        <v>206</v>
      </c>
      <c r="C131" t="s">
        <v>11</v>
      </c>
      <c r="D131">
        <v>139</v>
      </c>
      <c r="E131">
        <v>0</v>
      </c>
      <c r="F131" t="str">
        <f>HYPERLINK(".\links\cds\TI-206-cds.txt","TI-206")</f>
        <v>TI-206</v>
      </c>
      <c r="G131">
        <v>420</v>
      </c>
      <c r="H131"/>
      <c r="I131" t="s">
        <v>8</v>
      </c>
      <c r="J131" t="s">
        <v>6</v>
      </c>
      <c r="K131">
        <v>0</v>
      </c>
      <c r="L131">
        <v>1</v>
      </c>
      <c r="M131">
        <f t="shared" si="2"/>
        <v>1</v>
      </c>
      <c r="N131" t="s">
        <v>1202</v>
      </c>
      <c r="O131" t="s">
        <v>1169</v>
      </c>
      <c r="P131" t="str">
        <f>HYPERLINK(".\links\GO\TI-206-GO.txt","GO")</f>
        <v>GO</v>
      </c>
      <c r="Q131" s="3">
        <v>1E-51</v>
      </c>
      <c r="R131">
        <v>92.2</v>
      </c>
      <c r="S131" t="str">
        <f>HYPERLINK(".\links\NR-LIGHT\TI-206-NR-LIGHT.txt","unnamed protein product")</f>
        <v>unnamed protein product</v>
      </c>
      <c r="T131" t="str">
        <f>HYPERLINK("http://www.ncbi.nlm.nih.gov/sutils/blink.cgi?pid=12846939","5E-066")</f>
        <v>5E-066</v>
      </c>
      <c r="U131" t="str">
        <f>HYPERLINK("http://www.ncbi.nlm.nih.gov/protein/12846939","gi|12846939")</f>
        <v>gi|12846939</v>
      </c>
      <c r="V131">
        <v>251</v>
      </c>
      <c r="W131">
        <v>138</v>
      </c>
      <c r="X131">
        <v>142</v>
      </c>
      <c r="Y131">
        <v>91</v>
      </c>
      <c r="Z131">
        <v>98</v>
      </c>
      <c r="AA131">
        <v>12</v>
      </c>
      <c r="AB131">
        <v>0</v>
      </c>
      <c r="AC131">
        <v>4</v>
      </c>
      <c r="AD131">
        <v>1</v>
      </c>
      <c r="AE131">
        <v>1</v>
      </c>
      <c r="AF131"/>
      <c r="AG131" t="s">
        <v>13</v>
      </c>
      <c r="AH131" t="s">
        <v>51</v>
      </c>
      <c r="AI131" t="s">
        <v>87</v>
      </c>
      <c r="AJ131" t="str">
        <f>HYPERLINK(".\links\SWISSP\TI-206-SWISSP.txt","Hemoglobin subunit alpha OS=Mus musculus GN=Hba PE=1 SV=2")</f>
        <v>Hemoglobin subunit alpha OS=Mus musculus GN=Hba PE=1 SV=2</v>
      </c>
      <c r="AK131" t="str">
        <f>HYPERLINK("http://www.uniprot.org/uniprot/P01942","7E-065")</f>
        <v>7E-065</v>
      </c>
      <c r="AL131" t="s">
        <v>161</v>
      </c>
      <c r="AM131">
        <v>245</v>
      </c>
      <c r="AN131">
        <v>130</v>
      </c>
      <c r="AO131">
        <v>142</v>
      </c>
      <c r="AP131">
        <v>95</v>
      </c>
      <c r="AQ131">
        <v>92</v>
      </c>
      <c r="AR131">
        <v>6</v>
      </c>
      <c r="AS131">
        <v>0</v>
      </c>
      <c r="AT131">
        <v>12</v>
      </c>
      <c r="AU131">
        <v>9</v>
      </c>
      <c r="AV131">
        <v>1</v>
      </c>
      <c r="AW131" t="s">
        <v>87</v>
      </c>
      <c r="AX131" t="s">
        <v>8</v>
      </c>
      <c r="AY131"/>
      <c r="AZ131"/>
      <c r="BA131"/>
      <c r="BB131"/>
      <c r="BC131"/>
      <c r="BD131"/>
      <c r="BE131"/>
      <c r="BF131"/>
      <c r="BG131"/>
      <c r="BH131"/>
      <c r="BI131"/>
      <c r="BJ131"/>
      <c r="BK131" t="s">
        <v>698</v>
      </c>
      <c r="BL131">
        <f>HYPERLINK(".\links\GO\TI-206-GO.txt",2E-65)</f>
        <v>1.9999999999999998E-65</v>
      </c>
      <c r="BM131" t="s">
        <v>699</v>
      </c>
      <c r="BN131" t="s">
        <v>340</v>
      </c>
      <c r="BO131" t="s">
        <v>341</v>
      </c>
      <c r="BP131" t="s">
        <v>700</v>
      </c>
      <c r="BQ131" s="3">
        <v>1E-51</v>
      </c>
      <c r="BR131" t="s">
        <v>389</v>
      </c>
      <c r="BS131" t="s">
        <v>323</v>
      </c>
      <c r="BT131" t="s">
        <v>390</v>
      </c>
      <c r="BU131" t="s">
        <v>391</v>
      </c>
      <c r="BV131" s="3">
        <v>1E-51</v>
      </c>
      <c r="BW131" t="s">
        <v>701</v>
      </c>
      <c r="BX131" t="s">
        <v>340</v>
      </c>
      <c r="BY131" t="s">
        <v>341</v>
      </c>
      <c r="BZ131" t="s">
        <v>702</v>
      </c>
      <c r="CA131" s="3">
        <v>1E-51</v>
      </c>
      <c r="CB131" t="s">
        <v>8</v>
      </c>
      <c r="CC131"/>
      <c r="CD131"/>
      <c r="CE131" t="s">
        <v>8</v>
      </c>
      <c r="CF131"/>
      <c r="CG131"/>
      <c r="CH131" t="s">
        <v>8</v>
      </c>
      <c r="CI131"/>
      <c r="CJ131" t="s">
        <v>8</v>
      </c>
      <c r="CK131"/>
      <c r="CL131" t="s">
        <v>8</v>
      </c>
      <c r="CM131"/>
      <c r="CN131" t="s">
        <v>8</v>
      </c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 t="s">
        <v>8</v>
      </c>
      <c r="DC131"/>
      <c r="DD131"/>
      <c r="DE131"/>
      <c r="DF131"/>
      <c r="DG131"/>
      <c r="DH131"/>
      <c r="DI131"/>
      <c r="DJ131"/>
      <c r="DK131"/>
      <c r="DL131"/>
      <c r="DM131"/>
      <c r="DN131"/>
      <c r="DO131"/>
    </row>
    <row r="132" spans="1:119" s="6" customFormat="1">
      <c r="A132" s="6" t="str">
        <f>HYPERLINK(".\links\pep\TI-199-pep.txt","TI-199")</f>
        <v>TI-199</v>
      </c>
      <c r="B132" s="6">
        <v>199</v>
      </c>
      <c r="C132" s="6" t="s">
        <v>27</v>
      </c>
      <c r="D132" s="6">
        <v>29</v>
      </c>
      <c r="E132" s="6">
        <v>0</v>
      </c>
      <c r="F132" s="6" t="str">
        <f>HYPERLINK(".\links\cds\TI-199-cds.txt","TI-199")</f>
        <v>TI-199</v>
      </c>
      <c r="G132" s="6">
        <v>90</v>
      </c>
      <c r="I132" s="6" t="s">
        <v>8</v>
      </c>
      <c r="J132" s="6" t="s">
        <v>6</v>
      </c>
      <c r="K132" s="6">
        <v>0</v>
      </c>
      <c r="L132" s="6">
        <v>1</v>
      </c>
      <c r="M132" s="6">
        <f t="shared" si="2"/>
        <v>1</v>
      </c>
      <c r="N132" s="6" t="s">
        <v>1170</v>
      </c>
      <c r="O132" s="6" t="s">
        <v>1171</v>
      </c>
      <c r="S132" s="6" t="s">
        <v>8</v>
      </c>
      <c r="AJ132" s="6" t="s">
        <v>8</v>
      </c>
      <c r="AX132" s="6" t="s">
        <v>8</v>
      </c>
      <c r="BK132" s="6" t="s">
        <v>8</v>
      </c>
      <c r="CB132" s="6" t="s">
        <v>8</v>
      </c>
      <c r="CE132" s="6" t="s">
        <v>8</v>
      </c>
      <c r="CH132" s="6" t="s">
        <v>8</v>
      </c>
      <c r="CJ132" s="6" t="s">
        <v>8</v>
      </c>
      <c r="CL132" s="6" t="s">
        <v>8</v>
      </c>
      <c r="CN132" s="6" t="s">
        <v>8</v>
      </c>
      <c r="DB132" s="6" t="s">
        <v>8</v>
      </c>
    </row>
    <row r="133" spans="1:119" s="6" customFormat="1">
      <c r="A133" t="str">
        <f>HYPERLINK(".\links\pep\TI-194-pep.txt","TI-194")</f>
        <v>TI-194</v>
      </c>
      <c r="B133">
        <v>194</v>
      </c>
      <c r="C133" t="s">
        <v>7</v>
      </c>
      <c r="D133">
        <v>144</v>
      </c>
      <c r="E133">
        <v>0</v>
      </c>
      <c r="F133" t="str">
        <f>HYPERLINK(".\links\cds\TI-194-cds.txt","TI-194")</f>
        <v>TI-194</v>
      </c>
      <c r="G133">
        <v>431</v>
      </c>
      <c r="H133"/>
      <c r="I133" t="s">
        <v>29</v>
      </c>
      <c r="J133" t="s">
        <v>8</v>
      </c>
      <c r="K133">
        <v>0</v>
      </c>
      <c r="L133">
        <v>1</v>
      </c>
      <c r="M133">
        <f t="shared" si="2"/>
        <v>1</v>
      </c>
      <c r="N133" t="s">
        <v>1201</v>
      </c>
      <c r="O133" t="s">
        <v>1173</v>
      </c>
      <c r="P133" t="str">
        <f>HYPERLINK(".\links\SWISSP\TI-194-SWISSP.txt","SWISSP")</f>
        <v>SWISSP</v>
      </c>
      <c r="Q133" s="3">
        <v>2.0000000000000001E-62</v>
      </c>
      <c r="R133">
        <v>33.799999999999997</v>
      </c>
      <c r="S133" t="str">
        <f>HYPERLINK(".\links\NR-LIGHT\TI-194-NR-LIGHT.txt","hypothetical protein DAPPUDRAFT_203975")</f>
        <v>hypothetical protein DAPPUDRAFT_203975</v>
      </c>
      <c r="T133" t="str">
        <f>HYPERLINK("http://www.ncbi.nlm.nih.gov/sutils/blink.cgi?pid=321455574","2E-068")</f>
        <v>2E-068</v>
      </c>
      <c r="U133" t="str">
        <f>HYPERLINK("http://www.ncbi.nlm.nih.gov/protein/321455574","gi|321455574")</f>
        <v>gi|321455574</v>
      </c>
      <c r="V133">
        <v>259</v>
      </c>
      <c r="W133">
        <v>143</v>
      </c>
      <c r="X133">
        <v>418</v>
      </c>
      <c r="Y133">
        <v>82</v>
      </c>
      <c r="Z133">
        <v>34</v>
      </c>
      <c r="AA133">
        <v>25</v>
      </c>
      <c r="AB133">
        <v>0</v>
      </c>
      <c r="AC133">
        <v>1</v>
      </c>
      <c r="AD133">
        <v>1</v>
      </c>
      <c r="AE133">
        <v>1</v>
      </c>
      <c r="AF133"/>
      <c r="AG133" t="s">
        <v>13</v>
      </c>
      <c r="AH133" t="s">
        <v>51</v>
      </c>
      <c r="AI133" t="s">
        <v>270</v>
      </c>
      <c r="AJ133" t="str">
        <f>HYPERLINK(".\links\SWISSP\TI-194-SWISSP.txt","Hydroxysteroid dehydrogenase-like protein 2 OS=Xenopus tropicalis GN=hsdl2 PE=2")</f>
        <v>Hydroxysteroid dehydrogenase-like protein 2 OS=Xenopus tropicalis GN=hsdl2 PE=2</v>
      </c>
      <c r="AK133" t="str">
        <f>HYPERLINK("http://www.uniprot.org/uniprot/Q66KC4","2E-062")</f>
        <v>2E-062</v>
      </c>
      <c r="AL133" t="s">
        <v>160</v>
      </c>
      <c r="AM133">
        <v>236</v>
      </c>
      <c r="AN133">
        <v>140</v>
      </c>
      <c r="AO133">
        <v>417</v>
      </c>
      <c r="AP133">
        <v>80</v>
      </c>
      <c r="AQ133">
        <v>34</v>
      </c>
      <c r="AR133">
        <v>27</v>
      </c>
      <c r="AS133">
        <v>0</v>
      </c>
      <c r="AT133">
        <v>4</v>
      </c>
      <c r="AU133">
        <v>3</v>
      </c>
      <c r="AV133">
        <v>1</v>
      </c>
      <c r="AW133" t="s">
        <v>100</v>
      </c>
      <c r="AX133" t="str">
        <f>HYPERLINK(".\links\PREV-RHOD-PEP\TI-194-PREV-RHOD-PEP.txt","Contig18032_73")</f>
        <v>Contig18032_73</v>
      </c>
      <c r="AY133" s="3">
        <v>5.9999999999999998E-78</v>
      </c>
      <c r="AZ133" t="s">
        <v>1075</v>
      </c>
      <c r="BA133">
        <v>285</v>
      </c>
      <c r="BB133">
        <v>138</v>
      </c>
      <c r="BC133">
        <v>2544</v>
      </c>
      <c r="BD133">
        <v>97</v>
      </c>
      <c r="BE133">
        <v>5</v>
      </c>
      <c r="BF133">
        <v>3</v>
      </c>
      <c r="BG133">
        <v>0</v>
      </c>
      <c r="BH133">
        <v>1463</v>
      </c>
      <c r="BI133">
        <v>6</v>
      </c>
      <c r="BJ133">
        <v>1</v>
      </c>
      <c r="BK133" t="s">
        <v>693</v>
      </c>
      <c r="BL133">
        <f>HYPERLINK(".\links\GO\TI-194-GO.txt",5E-67)</f>
        <v>4.9999999999999999E-67</v>
      </c>
      <c r="BM133" t="s">
        <v>694</v>
      </c>
      <c r="BN133" t="s">
        <v>345</v>
      </c>
      <c r="BO133" t="s">
        <v>368</v>
      </c>
      <c r="BP133" t="s">
        <v>695</v>
      </c>
      <c r="BQ133">
        <v>4.9999999999999999E-13</v>
      </c>
      <c r="BR133" t="s">
        <v>8</v>
      </c>
      <c r="BS133" t="s">
        <v>8</v>
      </c>
      <c r="BT133" t="s">
        <v>8</v>
      </c>
      <c r="BU133" t="s">
        <v>8</v>
      </c>
      <c r="BV133" t="s">
        <v>8</v>
      </c>
      <c r="BW133" t="s">
        <v>696</v>
      </c>
      <c r="BX133" t="s">
        <v>345</v>
      </c>
      <c r="BY133" t="s">
        <v>368</v>
      </c>
      <c r="BZ133" t="s">
        <v>697</v>
      </c>
      <c r="CA133">
        <v>4.9999999999999999E-13</v>
      </c>
      <c r="CB133" t="s">
        <v>8</v>
      </c>
      <c r="CC133"/>
      <c r="CD133"/>
      <c r="CE133" t="s">
        <v>8</v>
      </c>
      <c r="CF133"/>
      <c r="CG133"/>
      <c r="CH133" t="s">
        <v>8</v>
      </c>
      <c r="CI133"/>
      <c r="CJ133" t="s">
        <v>8</v>
      </c>
      <c r="CK133"/>
      <c r="CL133" t="s">
        <v>8</v>
      </c>
      <c r="CM133"/>
      <c r="CN133" t="s">
        <v>8</v>
      </c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 t="s">
        <v>8</v>
      </c>
      <c r="DC133"/>
      <c r="DD133"/>
      <c r="DE133"/>
      <c r="DF133"/>
      <c r="DG133"/>
      <c r="DH133"/>
      <c r="DI133"/>
      <c r="DJ133"/>
      <c r="DK133"/>
      <c r="DL133"/>
      <c r="DM133"/>
      <c r="DN133"/>
      <c r="DO133"/>
    </row>
    <row r="134" spans="1:119" s="6" customFormat="1">
      <c r="A134" t="str">
        <f>HYPERLINK(".\links\pep\TI-187-pep.txt","TI-187")</f>
        <v>TI-187</v>
      </c>
      <c r="B134">
        <v>187</v>
      </c>
      <c r="C134" t="s">
        <v>7</v>
      </c>
      <c r="D134">
        <v>174</v>
      </c>
      <c r="E134">
        <v>0</v>
      </c>
      <c r="F134" t="str">
        <f>HYPERLINK(".\links\cds\TI-187-cds.txt","TI-187")</f>
        <v>TI-187</v>
      </c>
      <c r="G134">
        <v>525</v>
      </c>
      <c r="H134"/>
      <c r="I134" t="s">
        <v>29</v>
      </c>
      <c r="J134" t="s">
        <v>6</v>
      </c>
      <c r="K134">
        <v>0</v>
      </c>
      <c r="L134">
        <v>2</v>
      </c>
      <c r="M134">
        <f t="shared" si="2"/>
        <v>2</v>
      </c>
      <c r="N134" t="s">
        <v>1289</v>
      </c>
      <c r="O134" t="s">
        <v>1181</v>
      </c>
      <c r="P134" t="str">
        <f>HYPERLINK(".\links\NR-LIGHT\TI-187-NR-LIGHT.txt","NR-LIGHT")</f>
        <v>NR-LIGHT</v>
      </c>
      <c r="Q134" s="3">
        <v>9.9999999999999996E-81</v>
      </c>
      <c r="R134">
        <v>83.6</v>
      </c>
      <c r="S134" t="str">
        <f>HYPERLINK(".\links\NR-LIGHT\TI-187-NR-LIGHT.txt","myosin regulatory light chain 2 smooth muscle")</f>
        <v>myosin regulatory light chain 2 smooth muscle</v>
      </c>
      <c r="T134" t="str">
        <f>HYPERLINK("http://www.ncbi.nlm.nih.gov/sutils/blink.cgi?pid=157120145","1E-080")</f>
        <v>1E-080</v>
      </c>
      <c r="U134" t="str">
        <f>HYPERLINK("http://www.ncbi.nlm.nih.gov/protein/157120145","gi|157120145")</f>
        <v>gi|157120145</v>
      </c>
      <c r="V134">
        <v>300</v>
      </c>
      <c r="W134">
        <v>173</v>
      </c>
      <c r="X134">
        <v>208</v>
      </c>
      <c r="Y134">
        <v>82</v>
      </c>
      <c r="Z134">
        <v>84</v>
      </c>
      <c r="AA134">
        <v>30</v>
      </c>
      <c r="AB134">
        <v>0</v>
      </c>
      <c r="AC134">
        <v>1</v>
      </c>
      <c r="AD134">
        <v>1</v>
      </c>
      <c r="AE134">
        <v>1</v>
      </c>
      <c r="AF134"/>
      <c r="AG134" t="s">
        <v>13</v>
      </c>
      <c r="AH134" t="s">
        <v>51</v>
      </c>
      <c r="AI134" t="s">
        <v>76</v>
      </c>
      <c r="AJ134" t="str">
        <f>HYPERLINK(".\links\SWISSP\TI-187-SWISSP.txt","Myosin regulatory light chain sqh OS=Drosophila melanogaster GN=sqh PE=1 SV=1")</f>
        <v>Myosin regulatory light chain sqh OS=Drosophila melanogaster GN=sqh PE=1 SV=1</v>
      </c>
      <c r="AK134" t="str">
        <f>HYPERLINK("http://www.uniprot.org/uniprot/P40423","2E-078")</f>
        <v>2E-078</v>
      </c>
      <c r="AL134" t="s">
        <v>157</v>
      </c>
      <c r="AM134">
        <v>291</v>
      </c>
      <c r="AN134">
        <v>173</v>
      </c>
      <c r="AO134">
        <v>174</v>
      </c>
      <c r="AP134">
        <v>80</v>
      </c>
      <c r="AQ134">
        <v>100</v>
      </c>
      <c r="AR134">
        <v>34</v>
      </c>
      <c r="AS134">
        <v>0</v>
      </c>
      <c r="AT134">
        <v>1</v>
      </c>
      <c r="AU134">
        <v>1</v>
      </c>
      <c r="AV134">
        <v>1</v>
      </c>
      <c r="AW134" t="s">
        <v>52</v>
      </c>
      <c r="AX134" t="str">
        <f>HYPERLINK(".\links\PREV-RHOD-PEP\TI-187-PREV-RHOD-PEP.txt","Contig17965_34")</f>
        <v>Contig17965_34</v>
      </c>
      <c r="AY134" s="3">
        <v>7.9999999999999995E-88</v>
      </c>
      <c r="AZ134" t="s">
        <v>1073</v>
      </c>
      <c r="BA134">
        <v>318</v>
      </c>
      <c r="BB134">
        <v>173</v>
      </c>
      <c r="BC134">
        <v>174</v>
      </c>
      <c r="BD134">
        <v>89</v>
      </c>
      <c r="BE134">
        <v>100</v>
      </c>
      <c r="BF134">
        <v>18</v>
      </c>
      <c r="BG134">
        <v>0</v>
      </c>
      <c r="BH134">
        <v>1</v>
      </c>
      <c r="BI134">
        <v>1</v>
      </c>
      <c r="BJ134">
        <v>1</v>
      </c>
      <c r="BK134" t="s">
        <v>674</v>
      </c>
      <c r="BL134">
        <f>HYPERLINK(".\links\GO\TI-187-GO.txt",5E-79)</f>
        <v>5E-79</v>
      </c>
      <c r="BM134" t="s">
        <v>675</v>
      </c>
      <c r="BN134" t="s">
        <v>345</v>
      </c>
      <c r="BO134" t="s">
        <v>349</v>
      </c>
      <c r="BP134" t="s">
        <v>676</v>
      </c>
      <c r="BQ134" s="3">
        <v>5E-79</v>
      </c>
      <c r="BR134" t="s">
        <v>677</v>
      </c>
      <c r="BS134" t="s">
        <v>323</v>
      </c>
      <c r="BT134" t="s">
        <v>334</v>
      </c>
      <c r="BU134" t="s">
        <v>678</v>
      </c>
      <c r="BV134" s="3">
        <v>5E-79</v>
      </c>
      <c r="BW134" t="s">
        <v>679</v>
      </c>
      <c r="BX134" t="s">
        <v>345</v>
      </c>
      <c r="BY134" t="s">
        <v>349</v>
      </c>
      <c r="BZ134" t="s">
        <v>680</v>
      </c>
      <c r="CA134" s="3">
        <v>5E-79</v>
      </c>
    </row>
    <row r="135" spans="1:119" s="6" customFormat="1">
      <c r="A135" s="6" t="str">
        <f>HYPERLINK(".\links\pep\TI-186-pep.txt","TI-186")</f>
        <v>TI-186</v>
      </c>
      <c r="B135" s="6">
        <v>186</v>
      </c>
      <c r="C135" s="6" t="s">
        <v>10</v>
      </c>
      <c r="D135" s="6">
        <v>19</v>
      </c>
      <c r="E135" s="6">
        <v>0</v>
      </c>
      <c r="F135" s="6" t="str">
        <f>HYPERLINK(".\links\cds\TI-186-cds.txt","TI-186")</f>
        <v>TI-186</v>
      </c>
      <c r="G135" s="6">
        <v>60</v>
      </c>
      <c r="I135" s="6" t="s">
        <v>8</v>
      </c>
      <c r="J135" s="6" t="s">
        <v>6</v>
      </c>
      <c r="K135" s="6">
        <v>0</v>
      </c>
      <c r="L135" s="6">
        <v>1</v>
      </c>
      <c r="M135" s="6">
        <f t="shared" si="2"/>
        <v>1</v>
      </c>
      <c r="N135" s="6" t="s">
        <v>1170</v>
      </c>
      <c r="O135" s="6" t="s">
        <v>1171</v>
      </c>
      <c r="S135" s="6" t="s">
        <v>8</v>
      </c>
      <c r="AJ135" s="6" t="s">
        <v>8</v>
      </c>
      <c r="AX135" s="6" t="s">
        <v>8</v>
      </c>
      <c r="BK135" s="6" t="s">
        <v>8</v>
      </c>
      <c r="CB135" s="6" t="s">
        <v>8</v>
      </c>
      <c r="CE135" s="6" t="s">
        <v>8</v>
      </c>
      <c r="CH135" s="6" t="s">
        <v>8</v>
      </c>
      <c r="CJ135" s="6" t="s">
        <v>8</v>
      </c>
      <c r="CL135" s="6" t="s">
        <v>8</v>
      </c>
      <c r="CN135" s="6" t="s">
        <v>8</v>
      </c>
      <c r="DB135" s="6" t="s">
        <v>8</v>
      </c>
    </row>
    <row r="136" spans="1:119" s="6" customFormat="1">
      <c r="A136" s="6" t="str">
        <f>HYPERLINK(".\links\pep\TI-185-pep.txt","TI-185")</f>
        <v>TI-185</v>
      </c>
      <c r="B136" s="6">
        <v>185</v>
      </c>
      <c r="C136" s="6" t="s">
        <v>12</v>
      </c>
      <c r="D136" s="6">
        <v>49</v>
      </c>
      <c r="E136" s="7">
        <v>2.040816</v>
      </c>
      <c r="F136" s="6" t="str">
        <f>HYPERLINK(".\links\cds\TI-185-cds.txt","TI-185")</f>
        <v>TI-185</v>
      </c>
      <c r="G136" s="6">
        <v>146</v>
      </c>
      <c r="I136" s="6" t="s">
        <v>8</v>
      </c>
      <c r="J136" s="6" t="s">
        <v>8</v>
      </c>
      <c r="K136" s="6">
        <v>0</v>
      </c>
      <c r="L136" s="6">
        <v>1</v>
      </c>
      <c r="M136" s="6">
        <f t="shared" si="2"/>
        <v>1</v>
      </c>
      <c r="N136" s="6" t="s">
        <v>1170</v>
      </c>
      <c r="O136" s="6" t="s">
        <v>1171</v>
      </c>
      <c r="S136" s="6" t="s">
        <v>8</v>
      </c>
      <c r="AJ136" s="6" t="s">
        <v>8</v>
      </c>
      <c r="AX136" s="6" t="s">
        <v>8</v>
      </c>
      <c r="BK136" s="6" t="s">
        <v>8</v>
      </c>
      <c r="CB136" s="6" t="s">
        <v>8</v>
      </c>
      <c r="CE136" s="6" t="s">
        <v>8</v>
      </c>
      <c r="CH136" s="6" t="s">
        <v>8</v>
      </c>
      <c r="CJ136" s="6" t="s">
        <v>8</v>
      </c>
      <c r="CL136" s="6" t="s">
        <v>8</v>
      </c>
      <c r="CN136" s="6" t="s">
        <v>8</v>
      </c>
      <c r="DB136" s="6" t="s">
        <v>8</v>
      </c>
    </row>
    <row r="137" spans="1:119" s="6" customFormat="1">
      <c r="A137" s="6" t="str">
        <f>HYPERLINK(".\links\pep\TI-18-pep.txt","TI-18")</f>
        <v>TI-18</v>
      </c>
      <c r="B137" s="6">
        <v>18</v>
      </c>
      <c r="C137" s="6" t="s">
        <v>26</v>
      </c>
      <c r="D137" s="6">
        <v>40</v>
      </c>
      <c r="E137" s="6">
        <v>0</v>
      </c>
      <c r="F137" s="6" t="str">
        <f>HYPERLINK(".\links\cds\TI-18-cds.txt","TI-18")</f>
        <v>TI-18</v>
      </c>
      <c r="G137" s="6">
        <v>123</v>
      </c>
      <c r="I137" s="6" t="s">
        <v>8</v>
      </c>
      <c r="J137" s="6" t="s">
        <v>6</v>
      </c>
      <c r="K137" s="6">
        <v>0</v>
      </c>
      <c r="L137" s="6">
        <v>1</v>
      </c>
      <c r="M137" s="6">
        <f t="shared" si="2"/>
        <v>1</v>
      </c>
      <c r="N137" s="6" t="s">
        <v>1170</v>
      </c>
      <c r="O137" s="6" t="s">
        <v>1171</v>
      </c>
      <c r="S137" s="6" t="s">
        <v>8</v>
      </c>
      <c r="AJ137" s="6" t="s">
        <v>8</v>
      </c>
      <c r="AX137" s="6" t="s">
        <v>8</v>
      </c>
      <c r="BK137" s="6" t="s">
        <v>8</v>
      </c>
      <c r="CB137" s="6" t="s">
        <v>8</v>
      </c>
      <c r="CE137" s="6" t="s">
        <v>8</v>
      </c>
      <c r="CH137" s="6" t="s">
        <v>8</v>
      </c>
      <c r="CJ137" s="6" t="s">
        <v>8</v>
      </c>
      <c r="CL137" s="6" t="s">
        <v>8</v>
      </c>
      <c r="CN137" s="6" t="s">
        <v>8</v>
      </c>
      <c r="DB137" s="6" t="s">
        <v>8</v>
      </c>
    </row>
    <row r="138" spans="1:119" s="6" customFormat="1">
      <c r="A138" s="6" t="str">
        <f>HYPERLINK(".\links\pep\TI-175-pep.txt","TI-175")</f>
        <v>TI-175</v>
      </c>
      <c r="B138" s="6">
        <v>175</v>
      </c>
      <c r="C138" s="6" t="s">
        <v>7</v>
      </c>
      <c r="D138" s="6">
        <v>233</v>
      </c>
      <c r="E138" s="6">
        <v>0</v>
      </c>
      <c r="F138" s="6" t="str">
        <f>HYPERLINK(".\links\cds\TI-175-cds.txt","TI-175")</f>
        <v>TI-175</v>
      </c>
      <c r="G138" s="6">
        <v>702</v>
      </c>
      <c r="I138" s="6" t="s">
        <v>29</v>
      </c>
      <c r="J138" s="6" t="s">
        <v>6</v>
      </c>
      <c r="K138" s="6">
        <v>0</v>
      </c>
      <c r="L138" s="6">
        <v>2</v>
      </c>
      <c r="M138" s="6">
        <f t="shared" si="2"/>
        <v>2</v>
      </c>
      <c r="N138" s="6" t="s">
        <v>1170</v>
      </c>
      <c r="O138" s="6" t="s">
        <v>1171</v>
      </c>
      <c r="S138" s="6" t="str">
        <f>HYPERLINK(".\links\NR-LIGHT\TI-175-NR-LIGHT.txt","conserved hypothetical protein")</f>
        <v>conserved hypothetical protein</v>
      </c>
      <c r="T138" s="6" t="str">
        <f>HYPERLINK("http://www.ncbi.nlm.nih.gov/sutils/blink.cgi?pid=170057069","2E-005")</f>
        <v>2E-005</v>
      </c>
      <c r="U138" s="6" t="str">
        <f>HYPERLINK("http://www.ncbi.nlm.nih.gov/protein/170057069","gi|170057069")</f>
        <v>gi|170057069</v>
      </c>
      <c r="V138" s="6">
        <v>51.2</v>
      </c>
      <c r="W138" s="6">
        <v>118</v>
      </c>
      <c r="X138" s="6">
        <v>243</v>
      </c>
      <c r="Y138" s="6">
        <v>30</v>
      </c>
      <c r="Z138" s="6">
        <v>49</v>
      </c>
      <c r="AA138" s="6">
        <v>83</v>
      </c>
      <c r="AB138" s="6">
        <v>8</v>
      </c>
      <c r="AC138" s="6">
        <v>29</v>
      </c>
      <c r="AD138" s="6">
        <v>20</v>
      </c>
      <c r="AE138" s="6">
        <v>1</v>
      </c>
      <c r="AG138" s="6" t="s">
        <v>13</v>
      </c>
      <c r="AH138" s="6" t="s">
        <v>51</v>
      </c>
      <c r="AI138" s="6" t="s">
        <v>263</v>
      </c>
      <c r="AJ138" s="6" t="s">
        <v>8</v>
      </c>
      <c r="AX138" s="6" t="str">
        <f>HYPERLINK(".\links\PREV-RHOD-PEP\TI-175-PREV-RHOD-PEP.txt","Contig17963_37")</f>
        <v>Contig17963_37</v>
      </c>
      <c r="AY138" s="8">
        <v>9.9999999999999997E-106</v>
      </c>
      <c r="AZ138" s="6" t="s">
        <v>1068</v>
      </c>
      <c r="BA138" s="6">
        <v>377</v>
      </c>
      <c r="BB138" s="6">
        <v>232</v>
      </c>
      <c r="BC138" s="6">
        <v>233</v>
      </c>
      <c r="BD138" s="6">
        <v>75</v>
      </c>
      <c r="BE138" s="6">
        <v>100</v>
      </c>
      <c r="BF138" s="6">
        <v>57</v>
      </c>
      <c r="BG138" s="6">
        <v>0</v>
      </c>
      <c r="BH138" s="6">
        <v>1</v>
      </c>
      <c r="BI138" s="6">
        <v>1</v>
      </c>
      <c r="BJ138" s="6">
        <v>1</v>
      </c>
      <c r="BK138" s="6" t="s">
        <v>8</v>
      </c>
      <c r="CB138" s="6" t="s">
        <v>8</v>
      </c>
      <c r="CE138" s="6" t="s">
        <v>8</v>
      </c>
      <c r="CH138" s="6" t="s">
        <v>8</v>
      </c>
      <c r="CJ138" s="6" t="s">
        <v>8</v>
      </c>
      <c r="CL138" s="6" t="s">
        <v>8</v>
      </c>
      <c r="CN138" s="6" t="s">
        <v>8</v>
      </c>
      <c r="DB138" s="6" t="s">
        <v>8</v>
      </c>
    </row>
    <row r="139" spans="1:119" s="6" customFormat="1">
      <c r="A139" t="str">
        <f>HYPERLINK(".\links\pep\TI-173-pep.txt","TI-173")</f>
        <v>TI-173</v>
      </c>
      <c r="B139">
        <v>173</v>
      </c>
      <c r="C139" t="s">
        <v>11</v>
      </c>
      <c r="D139">
        <v>138</v>
      </c>
      <c r="E139">
        <v>0</v>
      </c>
      <c r="F139" t="str">
        <f>HYPERLINK(".\links\cds\TI-173-cds.txt","TI-173")</f>
        <v>TI-173</v>
      </c>
      <c r="G139">
        <v>417</v>
      </c>
      <c r="H139"/>
      <c r="I139" t="s">
        <v>8</v>
      </c>
      <c r="J139" t="s">
        <v>6</v>
      </c>
      <c r="K139">
        <v>0</v>
      </c>
      <c r="L139">
        <v>1</v>
      </c>
      <c r="M139">
        <f t="shared" si="2"/>
        <v>1</v>
      </c>
      <c r="N139" t="s">
        <v>1286</v>
      </c>
      <c r="O139" t="s">
        <v>1172</v>
      </c>
      <c r="P139" t="str">
        <f>HYPERLINK(".\links\GO\TI-173-GO.txt","GO")</f>
        <v>GO</v>
      </c>
      <c r="Q139" s="3">
        <v>1.9999999999999999E-34</v>
      </c>
      <c r="R139">
        <v>57.8</v>
      </c>
      <c r="S139" t="str">
        <f>HYPERLINK(".\links\NR-LIGHT\TI-173-NR-LIGHT.txt","oligomycin sensitivity conferring protein precursor")</f>
        <v>oligomycin sensitivity conferring protein precursor</v>
      </c>
      <c r="T139" t="str">
        <f>HYPERLINK("http://www.ncbi.nlm.nih.gov/sutils/blink.cgi?pid=1490236","4E-033")</f>
        <v>4E-033</v>
      </c>
      <c r="U139" t="str">
        <f>HYPERLINK("http://www.ncbi.nlm.nih.gov/protein/1490236","gi|1490236")</f>
        <v>gi|1490236</v>
      </c>
      <c r="V139">
        <v>142</v>
      </c>
      <c r="W139">
        <v>120</v>
      </c>
      <c r="X139">
        <v>209</v>
      </c>
      <c r="Y139">
        <v>55</v>
      </c>
      <c r="Z139">
        <v>58</v>
      </c>
      <c r="AA139">
        <v>54</v>
      </c>
      <c r="AB139">
        <v>0</v>
      </c>
      <c r="AC139">
        <v>15</v>
      </c>
      <c r="AD139">
        <v>18</v>
      </c>
      <c r="AE139">
        <v>1</v>
      </c>
      <c r="AF139"/>
      <c r="AG139" t="s">
        <v>13</v>
      </c>
      <c r="AH139" t="s">
        <v>51</v>
      </c>
      <c r="AI139" t="s">
        <v>52</v>
      </c>
      <c r="AJ139" t="str">
        <f>HYPERLINK(".\links\SWISSP\TI-173-SWISSP.txt","ATP synthase subunit O, mitochondrial OS=Drosophila melanogaster GN=Oscp PE=2")</f>
        <v>ATP synthase subunit O, mitochondrial OS=Drosophila melanogaster GN=Oscp PE=2</v>
      </c>
      <c r="AK139" t="str">
        <f>HYPERLINK("http://www.uniprot.org/uniprot/Q24439","8E-034")</f>
        <v>8E-034</v>
      </c>
      <c r="AL139" t="s">
        <v>154</v>
      </c>
      <c r="AM139">
        <v>142</v>
      </c>
      <c r="AN139">
        <v>120</v>
      </c>
      <c r="AO139">
        <v>209</v>
      </c>
      <c r="AP139">
        <v>55</v>
      </c>
      <c r="AQ139">
        <v>58</v>
      </c>
      <c r="AR139">
        <v>54</v>
      </c>
      <c r="AS139">
        <v>0</v>
      </c>
      <c r="AT139">
        <v>15</v>
      </c>
      <c r="AU139">
        <v>18</v>
      </c>
      <c r="AV139">
        <v>1</v>
      </c>
      <c r="AW139" t="s">
        <v>52</v>
      </c>
      <c r="AX139" t="str">
        <f>HYPERLINK(".\links\PREV-RHOD-PEP\TI-173-PREV-RHOD-PEP.txt","Contig17635_30")</f>
        <v>Contig17635_30</v>
      </c>
      <c r="AY139" s="3">
        <v>4E-55</v>
      </c>
      <c r="AZ139" t="s">
        <v>1067</v>
      </c>
      <c r="BA139">
        <v>209</v>
      </c>
      <c r="BB139">
        <v>132</v>
      </c>
      <c r="BC139">
        <v>208</v>
      </c>
      <c r="BD139">
        <v>75</v>
      </c>
      <c r="BE139">
        <v>64</v>
      </c>
      <c r="BF139">
        <v>32</v>
      </c>
      <c r="BG139">
        <v>0</v>
      </c>
      <c r="BH139">
        <v>2</v>
      </c>
      <c r="BI139">
        <v>6</v>
      </c>
      <c r="BJ139">
        <v>1</v>
      </c>
      <c r="BK139" t="s">
        <v>664</v>
      </c>
      <c r="BL139">
        <f>HYPERLINK(".\links\GO\TI-173-GO.txt",2E-34)</f>
        <v>1.9999999999999999E-34</v>
      </c>
      <c r="BM139" t="s">
        <v>548</v>
      </c>
      <c r="BN139" t="s">
        <v>345</v>
      </c>
      <c r="BO139" t="s">
        <v>349</v>
      </c>
      <c r="BP139" t="s">
        <v>549</v>
      </c>
      <c r="BQ139" s="3">
        <v>1.9999999999999999E-34</v>
      </c>
      <c r="BR139" t="s">
        <v>665</v>
      </c>
      <c r="BS139" t="s">
        <v>323</v>
      </c>
      <c r="BT139" t="s">
        <v>551</v>
      </c>
      <c r="BU139" t="s">
        <v>666</v>
      </c>
      <c r="BV139" s="3">
        <v>1.9999999999999999E-34</v>
      </c>
      <c r="BW139" t="s">
        <v>553</v>
      </c>
      <c r="BX139" t="s">
        <v>345</v>
      </c>
      <c r="BY139" t="s">
        <v>349</v>
      </c>
      <c r="BZ139" t="s">
        <v>554</v>
      </c>
      <c r="CA139" s="3">
        <v>1.9999999999999999E-34</v>
      </c>
      <c r="CB139" t="s">
        <v>8</v>
      </c>
      <c r="CC139"/>
      <c r="CD139"/>
      <c r="CE139" t="s">
        <v>8</v>
      </c>
      <c r="CF139"/>
      <c r="CG139"/>
      <c r="CH139" t="s">
        <v>8</v>
      </c>
      <c r="CI139"/>
      <c r="CJ139" t="s">
        <v>8</v>
      </c>
      <c r="CK139"/>
      <c r="CL139" t="s">
        <v>8</v>
      </c>
      <c r="CM139"/>
      <c r="CN139" t="s">
        <v>8</v>
      </c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 t="s">
        <v>8</v>
      </c>
      <c r="DC139"/>
      <c r="DD139"/>
      <c r="DE139"/>
      <c r="DF139"/>
      <c r="DG139"/>
      <c r="DH139"/>
      <c r="DI139"/>
      <c r="DJ139"/>
      <c r="DK139"/>
      <c r="DL139"/>
      <c r="DM139"/>
      <c r="DN139"/>
      <c r="DO139"/>
    </row>
    <row r="140" spans="1:119" s="6" customFormat="1">
      <c r="A140" t="str">
        <f>HYPERLINK(".\links\pep\TI-172-pep.txt","TI-172")</f>
        <v>TI-172</v>
      </c>
      <c r="B140">
        <v>172</v>
      </c>
      <c r="C140" t="s">
        <v>7</v>
      </c>
      <c r="D140">
        <v>68</v>
      </c>
      <c r="E140">
        <v>0</v>
      </c>
      <c r="F140" t="str">
        <f>HYPERLINK(".\links\cds\TI-172-cds.txt","TI-172")</f>
        <v>TI-172</v>
      </c>
      <c r="G140">
        <v>207</v>
      </c>
      <c r="H140"/>
      <c r="I140" t="s">
        <v>29</v>
      </c>
      <c r="J140" t="s">
        <v>6</v>
      </c>
      <c r="K140">
        <v>0</v>
      </c>
      <c r="L140">
        <v>1</v>
      </c>
      <c r="M140">
        <f t="shared" si="2"/>
        <v>1</v>
      </c>
      <c r="N140" t="s">
        <v>1285</v>
      </c>
      <c r="O140" t="s">
        <v>1189</v>
      </c>
      <c r="P140" t="str">
        <f>HYPERLINK(".\links\GO\TI-172-GO.txt","GO")</f>
        <v>GO</v>
      </c>
      <c r="Q140" s="3">
        <v>9.9999999999999995E-21</v>
      </c>
      <c r="R140">
        <v>100</v>
      </c>
      <c r="S140" t="str">
        <f>HYPERLINK(".\links\NR-LIGHT\TI-172-NR-LIGHT.txt","similar to Sec61p gamma subunit")</f>
        <v>similar to Sec61p gamma subunit</v>
      </c>
      <c r="T140" t="str">
        <f>HYPERLINK("http://www.ncbi.nlm.nih.gov/sutils/blink.cgi?pid=156536879","8E-021")</f>
        <v>8E-021</v>
      </c>
      <c r="U140" t="str">
        <f>HYPERLINK("http://www.ncbi.nlm.nih.gov/protein/156536879","gi|156536879")</f>
        <v>gi|156536879</v>
      </c>
      <c r="V140">
        <v>101</v>
      </c>
      <c r="W140">
        <v>67</v>
      </c>
      <c r="X140">
        <v>68</v>
      </c>
      <c r="Y140">
        <v>73</v>
      </c>
      <c r="Z140">
        <v>100</v>
      </c>
      <c r="AA140">
        <v>18</v>
      </c>
      <c r="AB140">
        <v>0</v>
      </c>
      <c r="AC140">
        <v>1</v>
      </c>
      <c r="AD140">
        <v>1</v>
      </c>
      <c r="AE140">
        <v>1</v>
      </c>
      <c r="AF140"/>
      <c r="AG140" t="s">
        <v>13</v>
      </c>
      <c r="AH140" t="s">
        <v>51</v>
      </c>
      <c r="AI140" t="s">
        <v>274</v>
      </c>
      <c r="AJ140" t="str">
        <f>HYPERLINK(".\links\SWISSP\TI-172-SWISSP.txt","Protein transport protein Sec61 subunit gamma OS=Gryllotalpa orientalis")</f>
        <v>Protein transport protein Sec61 subunit gamma OS=Gryllotalpa orientalis</v>
      </c>
      <c r="AK140" t="str">
        <f>HYPERLINK("http://www.uniprot.org/uniprot/Q7Z1B8","8E-022")</f>
        <v>8E-022</v>
      </c>
      <c r="AL140" t="s">
        <v>152</v>
      </c>
      <c r="AM140">
        <v>102</v>
      </c>
      <c r="AN140">
        <v>67</v>
      </c>
      <c r="AO140">
        <v>68</v>
      </c>
      <c r="AP140">
        <v>73</v>
      </c>
      <c r="AQ140">
        <v>100</v>
      </c>
      <c r="AR140">
        <v>18</v>
      </c>
      <c r="AS140">
        <v>0</v>
      </c>
      <c r="AT140">
        <v>1</v>
      </c>
      <c r="AU140">
        <v>1</v>
      </c>
      <c r="AV140">
        <v>1</v>
      </c>
      <c r="AW140" t="s">
        <v>153</v>
      </c>
      <c r="AX140" t="str">
        <f>HYPERLINK(".\links\PREV-RHOD-PEP\TI-172-PREV-RHOD-PEP.txt","Contig17891_121")</f>
        <v>Contig17891_121</v>
      </c>
      <c r="AY140" s="3">
        <v>3E-23</v>
      </c>
      <c r="AZ140" t="s">
        <v>1066</v>
      </c>
      <c r="BA140">
        <v>103</v>
      </c>
      <c r="BB140">
        <v>65</v>
      </c>
      <c r="BC140">
        <v>66</v>
      </c>
      <c r="BD140">
        <v>80</v>
      </c>
      <c r="BE140">
        <v>100</v>
      </c>
      <c r="BF140">
        <v>13</v>
      </c>
      <c r="BG140">
        <v>0</v>
      </c>
      <c r="BH140">
        <v>1</v>
      </c>
      <c r="BI140">
        <v>1</v>
      </c>
      <c r="BJ140">
        <v>1</v>
      </c>
      <c r="BK140" t="s">
        <v>663</v>
      </c>
      <c r="BL140">
        <f>HYPERLINK(".\links\GO\TI-172-GO.txt",1E-20)</f>
        <v>9.9999999999999995E-21</v>
      </c>
      <c r="BM140" t="s">
        <v>621</v>
      </c>
      <c r="BN140" t="s">
        <v>319</v>
      </c>
      <c r="BO140" t="s">
        <v>320</v>
      </c>
      <c r="BP140" t="s">
        <v>622</v>
      </c>
      <c r="BQ140" s="3">
        <v>1.9999999999999999E-20</v>
      </c>
      <c r="BR140" t="s">
        <v>623</v>
      </c>
      <c r="BS140" t="s">
        <v>477</v>
      </c>
      <c r="BT140" t="s">
        <v>477</v>
      </c>
      <c r="BU140" t="s">
        <v>624</v>
      </c>
      <c r="BV140" s="3">
        <v>1.9999999999999999E-20</v>
      </c>
      <c r="BW140" t="s">
        <v>625</v>
      </c>
      <c r="BX140" t="s">
        <v>319</v>
      </c>
      <c r="BY140" t="s">
        <v>320</v>
      </c>
      <c r="BZ140" t="s">
        <v>626</v>
      </c>
      <c r="CA140" s="3">
        <v>1.9999999999999999E-20</v>
      </c>
      <c r="CB140" t="s">
        <v>8</v>
      </c>
      <c r="CC140"/>
      <c r="CD140"/>
      <c r="CE140" t="s">
        <v>8</v>
      </c>
      <c r="CF140"/>
      <c r="CG140"/>
      <c r="CH140" t="s">
        <v>8</v>
      </c>
      <c r="CI140"/>
      <c r="CJ140" t="s">
        <v>8</v>
      </c>
      <c r="CK140"/>
      <c r="CL140" t="s">
        <v>8</v>
      </c>
      <c r="CM140"/>
      <c r="CN140" t="s">
        <v>8</v>
      </c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 t="s">
        <v>8</v>
      </c>
      <c r="DC140"/>
      <c r="DD140"/>
      <c r="DE140"/>
      <c r="DF140"/>
      <c r="DG140"/>
      <c r="DH140"/>
      <c r="DI140"/>
      <c r="DJ140"/>
      <c r="DK140"/>
      <c r="DL140"/>
      <c r="DM140"/>
      <c r="DN140"/>
      <c r="DO140"/>
    </row>
    <row r="141" spans="1:119" s="6" customFormat="1">
      <c r="A141" s="6" t="str">
        <f>HYPERLINK(".\links\pep\TI-17-pep.txt","TI-17")</f>
        <v>TI-17</v>
      </c>
      <c r="B141" s="6">
        <v>17</v>
      </c>
      <c r="C141" s="6" t="s">
        <v>12</v>
      </c>
      <c r="D141" s="6">
        <v>71</v>
      </c>
      <c r="E141" s="6">
        <v>0</v>
      </c>
      <c r="F141" s="6" t="str">
        <f>HYPERLINK(".\links\cds\TI-17-cds.txt","TI-17")</f>
        <v>TI-17</v>
      </c>
      <c r="G141" s="6">
        <v>216</v>
      </c>
      <c r="I141" s="6" t="s">
        <v>8</v>
      </c>
      <c r="J141" s="6" t="s">
        <v>6</v>
      </c>
      <c r="K141" s="6">
        <v>0</v>
      </c>
      <c r="L141" s="6">
        <v>1</v>
      </c>
      <c r="M141" s="6">
        <f t="shared" si="2"/>
        <v>1</v>
      </c>
      <c r="N141" s="6" t="s">
        <v>1170</v>
      </c>
      <c r="O141" s="6" t="s">
        <v>1171</v>
      </c>
      <c r="S141" s="6" t="str">
        <f>HYPERLINK(".\links\NR-LIGHT\TI-17-NR-LIGHT.txt","DnaJ homolog, subfamily C, member 19")</f>
        <v>DnaJ homolog, subfamily C, member 19</v>
      </c>
      <c r="T141" s="6" t="str">
        <f>HYPERLINK("http://www.ncbi.nlm.nih.gov/sutils/blink.cgi?pid=297466452","0.72")</f>
        <v>0.72</v>
      </c>
      <c r="U141" s="6" t="str">
        <f>HYPERLINK("http://www.ncbi.nlm.nih.gov/protein/297466452","gi|297466452")</f>
        <v>gi|297466452</v>
      </c>
      <c r="V141" s="6">
        <v>35</v>
      </c>
      <c r="W141" s="6">
        <v>60</v>
      </c>
      <c r="X141" s="6">
        <v>116</v>
      </c>
      <c r="Y141" s="6">
        <v>30</v>
      </c>
      <c r="Z141" s="6">
        <v>53</v>
      </c>
      <c r="AA141" s="6">
        <v>46</v>
      </c>
      <c r="AB141" s="6">
        <v>6</v>
      </c>
      <c r="AC141" s="6">
        <v>34</v>
      </c>
      <c r="AD141" s="6">
        <v>3</v>
      </c>
      <c r="AE141" s="6">
        <v>1</v>
      </c>
      <c r="AG141" s="6" t="s">
        <v>13</v>
      </c>
      <c r="AH141" s="6" t="s">
        <v>51</v>
      </c>
      <c r="AI141" s="6" t="s">
        <v>64</v>
      </c>
      <c r="AJ141" s="6" t="s">
        <v>8</v>
      </c>
      <c r="AX141" s="6" t="s">
        <v>8</v>
      </c>
      <c r="BK141" s="6" t="s">
        <v>8</v>
      </c>
      <c r="CB141" s="6" t="s">
        <v>8</v>
      </c>
      <c r="CE141" s="6" t="s">
        <v>8</v>
      </c>
      <c r="CH141" s="6" t="s">
        <v>8</v>
      </c>
      <c r="CJ141" s="6" t="s">
        <v>8</v>
      </c>
      <c r="CL141" s="6" t="s">
        <v>8</v>
      </c>
      <c r="CN141" s="6" t="s">
        <v>8</v>
      </c>
      <c r="DB141" s="6" t="s">
        <v>8</v>
      </c>
    </row>
    <row r="142" spans="1:119" s="6" customFormat="1">
      <c r="A142" t="str">
        <f>HYPERLINK(".\links\pep\TI-16-pep.txt","TI-16")</f>
        <v>TI-16</v>
      </c>
      <c r="B142">
        <v>16</v>
      </c>
      <c r="C142" t="s">
        <v>9</v>
      </c>
      <c r="D142">
        <v>179</v>
      </c>
      <c r="E142">
        <v>0</v>
      </c>
      <c r="F142" t="str">
        <f>HYPERLINK(".\links\cds\TI-16-cds.txt","TI-16")</f>
        <v>TI-16</v>
      </c>
      <c r="G142">
        <v>534</v>
      </c>
      <c r="H142"/>
      <c r="I142" t="s">
        <v>8</v>
      </c>
      <c r="J142" t="s">
        <v>8</v>
      </c>
      <c r="K142">
        <v>0</v>
      </c>
      <c r="L142">
        <v>1</v>
      </c>
      <c r="M142">
        <f t="shared" si="2"/>
        <v>1</v>
      </c>
      <c r="N142" t="s">
        <v>1177</v>
      </c>
      <c r="O142" t="s">
        <v>1178</v>
      </c>
      <c r="P142" t="str">
        <f>HYPERLINK(".\links\NR-LIGHT\TI-16-NR-LIGHT.txt","NR-LIGHT")</f>
        <v>NR-LIGHT</v>
      </c>
      <c r="Q142" s="3">
        <v>3E-28</v>
      </c>
      <c r="R142">
        <v>82.1</v>
      </c>
      <c r="S142" t="str">
        <f>HYPERLINK(".\links\NR-LIGHT\TI-16-NR-LIGHT.txt","similar to NBP2b protein, putative")</f>
        <v>similar to NBP2b protein, putative</v>
      </c>
      <c r="T142" t="str">
        <f>HYPERLINK("http://www.ncbi.nlm.nih.gov/sutils/blink.cgi?pid=189237012","3E-028")</f>
        <v>3E-028</v>
      </c>
      <c r="U142" t="str">
        <f>HYPERLINK("http://www.ncbi.nlm.nih.gov/protein/189237012","gi|189237012")</f>
        <v>gi|189237012</v>
      </c>
      <c r="V142">
        <v>126</v>
      </c>
      <c r="W142">
        <v>164</v>
      </c>
      <c r="X142">
        <v>207</v>
      </c>
      <c r="Y142">
        <v>43</v>
      </c>
      <c r="Z142">
        <v>80</v>
      </c>
      <c r="AA142">
        <v>96</v>
      </c>
      <c r="AB142">
        <v>8</v>
      </c>
      <c r="AC142">
        <v>10</v>
      </c>
      <c r="AD142">
        <v>2</v>
      </c>
      <c r="AE142">
        <v>1</v>
      </c>
      <c r="AF142"/>
      <c r="AG142" t="s">
        <v>13</v>
      </c>
      <c r="AH142" t="s">
        <v>51</v>
      </c>
      <c r="AI142" t="s">
        <v>266</v>
      </c>
      <c r="AJ142" t="str">
        <f>HYPERLINK(".\links\SWISSP\TI-16-SWISSP.txt","Coiled-coil domain-containing protein 43 OS=Rattus norvegicus GN=Ccdc43 PE=2")</f>
        <v>Coiled-coil domain-containing protein 43 OS=Rattus norvegicus GN=Ccdc43 PE=2</v>
      </c>
      <c r="AK142" t="str">
        <f>HYPERLINK("http://www.uniprot.org/uniprot/Q5BK07","8E-010")</f>
        <v>8E-010</v>
      </c>
      <c r="AL142" t="s">
        <v>115</v>
      </c>
      <c r="AM142">
        <v>63.2</v>
      </c>
      <c r="AN142">
        <v>145</v>
      </c>
      <c r="AO142">
        <v>222</v>
      </c>
      <c r="AP142">
        <v>31</v>
      </c>
      <c r="AQ142">
        <v>66</v>
      </c>
      <c r="AR142">
        <v>105</v>
      </c>
      <c r="AS142">
        <v>13</v>
      </c>
      <c r="AT142">
        <v>22</v>
      </c>
      <c r="AU142">
        <v>2</v>
      </c>
      <c r="AV142">
        <v>1</v>
      </c>
      <c r="AW142" t="s">
        <v>74</v>
      </c>
      <c r="AX142" t="str">
        <f>HYPERLINK(".\links\PREV-RHOD-PEP\TI-16-PREV-RHOD-PEP.txt","Contig15608_3")</f>
        <v>Contig15608_3</v>
      </c>
      <c r="AY142" s="3">
        <v>8.0000000000000003E-62</v>
      </c>
      <c r="AZ142" t="s">
        <v>1030</v>
      </c>
      <c r="BA142">
        <v>232</v>
      </c>
      <c r="BB142">
        <v>156</v>
      </c>
      <c r="BC142">
        <v>210</v>
      </c>
      <c r="BD142">
        <v>75</v>
      </c>
      <c r="BE142">
        <v>75</v>
      </c>
      <c r="BF142">
        <v>39</v>
      </c>
      <c r="BG142">
        <v>0</v>
      </c>
      <c r="BH142">
        <v>21</v>
      </c>
      <c r="BI142">
        <v>12</v>
      </c>
      <c r="BJ142">
        <v>1</v>
      </c>
      <c r="BK142" t="s">
        <v>537</v>
      </c>
      <c r="BL142">
        <f>HYPERLINK(".\links\GO\TI-16-GO.txt",0.00000002)</f>
        <v>2E-8</v>
      </c>
      <c r="BM142" t="s">
        <v>373</v>
      </c>
      <c r="BN142" t="s">
        <v>373</v>
      </c>
      <c r="BO142"/>
      <c r="BP142" t="s">
        <v>374</v>
      </c>
      <c r="BQ142">
        <v>2E-8</v>
      </c>
      <c r="BR142" t="s">
        <v>375</v>
      </c>
      <c r="BS142" t="s">
        <v>375</v>
      </c>
      <c r="BT142"/>
      <c r="BU142" t="s">
        <v>376</v>
      </c>
      <c r="BV142">
        <v>2E-8</v>
      </c>
      <c r="BW142" t="s">
        <v>380</v>
      </c>
      <c r="BX142" t="s">
        <v>373</v>
      </c>
      <c r="BY142"/>
      <c r="BZ142" t="s">
        <v>381</v>
      </c>
      <c r="CA142">
        <v>2E-8</v>
      </c>
      <c r="CB142" t="s">
        <v>8</v>
      </c>
      <c r="CC142"/>
      <c r="CD142"/>
      <c r="CE142" t="s">
        <v>8</v>
      </c>
      <c r="CF142"/>
      <c r="CG142"/>
      <c r="CH142" t="s">
        <v>8</v>
      </c>
      <c r="CI142"/>
      <c r="CJ142" t="s">
        <v>8</v>
      </c>
      <c r="CK142"/>
      <c r="CL142" t="s">
        <v>8</v>
      </c>
      <c r="CM142"/>
      <c r="CN142" t="s">
        <v>8</v>
      </c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 t="s">
        <v>8</v>
      </c>
      <c r="DC142"/>
      <c r="DD142"/>
      <c r="DE142"/>
      <c r="DF142"/>
      <c r="DG142"/>
      <c r="DH142"/>
      <c r="DI142"/>
      <c r="DJ142"/>
      <c r="DK142"/>
      <c r="DL142"/>
      <c r="DM142"/>
      <c r="DN142"/>
      <c r="DO142"/>
    </row>
    <row r="143" spans="1:119" s="6" customFormat="1">
      <c r="A143" t="str">
        <f>HYPERLINK(".\links\pep\TI-152-pep.txt","TI-152")</f>
        <v>TI-152</v>
      </c>
      <c r="B143">
        <v>152</v>
      </c>
      <c r="C143" t="s">
        <v>16</v>
      </c>
      <c r="D143">
        <v>200</v>
      </c>
      <c r="E143">
        <v>0</v>
      </c>
      <c r="F143" t="str">
        <f>HYPERLINK(".\links\cds\TI-152-cds.txt","TI-152")</f>
        <v>TI-152</v>
      </c>
      <c r="G143">
        <v>603</v>
      </c>
      <c r="H143"/>
      <c r="I143" t="s">
        <v>8</v>
      </c>
      <c r="J143" t="s">
        <v>6</v>
      </c>
      <c r="K143">
        <v>0</v>
      </c>
      <c r="L143">
        <v>9</v>
      </c>
      <c r="M143">
        <f t="shared" si="2"/>
        <v>9</v>
      </c>
      <c r="N143" t="s">
        <v>1281</v>
      </c>
      <c r="O143" t="s">
        <v>1178</v>
      </c>
      <c r="P143" t="str">
        <f>HYPERLINK(".\links\NR-LIGHT\TI-152-NR-LIGHT.txt","NR-LIGHT")</f>
        <v>NR-LIGHT</v>
      </c>
      <c r="Q143" s="3">
        <v>7.9999999999999994E-24</v>
      </c>
      <c r="R143">
        <v>22.7</v>
      </c>
      <c r="S143" t="str">
        <f>HYPERLINK(".\links\NR-LIGHT\TI-152-NR-LIGHT.txt","hypothetical protein LOC100579034, partial")</f>
        <v>hypothetical protein LOC100579034, partial</v>
      </c>
      <c r="T143" t="str">
        <f>HYPERLINK("http://www.ncbi.nlm.nih.gov/sutils/blink.cgi?pid=328790765","8E-024")</f>
        <v>8E-024</v>
      </c>
      <c r="U143" t="str">
        <f>HYPERLINK("http://www.ncbi.nlm.nih.gov/protein/328790765","gi|328790765")</f>
        <v>gi|328790765</v>
      </c>
      <c r="V143">
        <v>112</v>
      </c>
      <c r="W143">
        <v>153</v>
      </c>
      <c r="X143">
        <v>699</v>
      </c>
      <c r="Y143">
        <v>34</v>
      </c>
      <c r="Z143">
        <v>22</v>
      </c>
      <c r="AA143">
        <v>104</v>
      </c>
      <c r="AB143">
        <v>5</v>
      </c>
      <c r="AC143">
        <v>481</v>
      </c>
      <c r="AD143">
        <v>36</v>
      </c>
      <c r="AE143">
        <v>1</v>
      </c>
      <c r="AF143"/>
      <c r="AG143" t="s">
        <v>13</v>
      </c>
      <c r="AH143" t="s">
        <v>51</v>
      </c>
      <c r="AI143" t="s">
        <v>83</v>
      </c>
      <c r="AJ143" t="str">
        <f>HYPERLINK(".\links\SWISSP\TI-152-SWISSP.txt","NMDA receptor-regulated protein 2 OS=Homo sapiens GN=NARG2 PE=1 SV=2")</f>
        <v>NMDA receptor-regulated protein 2 OS=Homo sapiens GN=NARG2 PE=1 SV=2</v>
      </c>
      <c r="AK143" t="str">
        <f>HYPERLINK("http://www.uniprot.org/uniprot/Q659A1","2E-005")</f>
        <v>2E-005</v>
      </c>
      <c r="AL143" t="s">
        <v>150</v>
      </c>
      <c r="AM143">
        <v>49.3</v>
      </c>
      <c r="AN143">
        <v>99</v>
      </c>
      <c r="AO143">
        <v>982</v>
      </c>
      <c r="AP143">
        <v>27</v>
      </c>
      <c r="AQ143">
        <v>10</v>
      </c>
      <c r="AR143">
        <v>75</v>
      </c>
      <c r="AS143">
        <v>3</v>
      </c>
      <c r="AT143">
        <v>773</v>
      </c>
      <c r="AU143">
        <v>78</v>
      </c>
      <c r="AV143">
        <v>1</v>
      </c>
      <c r="AW143" t="s">
        <v>68</v>
      </c>
      <c r="AX143" t="str">
        <f>HYPERLINK(".\links\PREV-RHOD-PEP\TI-152-PREV-RHOD-PEP.txt","Contig17567_10")</f>
        <v>Contig17567_10</v>
      </c>
      <c r="AY143" s="3">
        <v>1E-78</v>
      </c>
      <c r="AZ143" t="s">
        <v>1063</v>
      </c>
      <c r="BA143">
        <v>288</v>
      </c>
      <c r="BB143">
        <v>178</v>
      </c>
      <c r="BC143">
        <v>753</v>
      </c>
      <c r="BD143">
        <v>77</v>
      </c>
      <c r="BE143">
        <v>24</v>
      </c>
      <c r="BF143">
        <v>40</v>
      </c>
      <c r="BG143">
        <v>0</v>
      </c>
      <c r="BH143">
        <v>492</v>
      </c>
      <c r="BI143">
        <v>9</v>
      </c>
      <c r="BJ143">
        <v>1</v>
      </c>
      <c r="BK143" t="s">
        <v>650</v>
      </c>
      <c r="BL143">
        <f>HYPERLINK(".\links\GO\TI-152-GO.txt",0.00004)</f>
        <v>4.0000000000000003E-5</v>
      </c>
      <c r="BM143" t="s">
        <v>8</v>
      </c>
      <c r="BN143" t="s">
        <v>8</v>
      </c>
      <c r="BO143" t="s">
        <v>8</v>
      </c>
      <c r="BP143" t="s">
        <v>8</v>
      </c>
      <c r="BQ143" t="s">
        <v>8</v>
      </c>
      <c r="BR143" t="s">
        <v>447</v>
      </c>
      <c r="BS143" t="s">
        <v>323</v>
      </c>
      <c r="BT143" t="s">
        <v>334</v>
      </c>
      <c r="BU143" t="s">
        <v>448</v>
      </c>
      <c r="BV143">
        <v>2.0000000000000001E-4</v>
      </c>
      <c r="BW143" t="s">
        <v>8</v>
      </c>
      <c r="BX143" t="s">
        <v>8</v>
      </c>
      <c r="BY143" t="s">
        <v>8</v>
      </c>
      <c r="BZ143" t="s">
        <v>8</v>
      </c>
      <c r="CA143" t="s">
        <v>8</v>
      </c>
      <c r="CB143" t="s">
        <v>8</v>
      </c>
      <c r="CC143"/>
      <c r="CD143"/>
      <c r="CE143" t="s">
        <v>8</v>
      </c>
      <c r="CF143"/>
      <c r="CG143"/>
      <c r="CH143" t="s">
        <v>8</v>
      </c>
      <c r="CI143"/>
      <c r="CJ143" t="s">
        <v>8</v>
      </c>
      <c r="CK143"/>
      <c r="CL143" t="s">
        <v>8</v>
      </c>
      <c r="CM143"/>
      <c r="CN143" t="s">
        <v>8</v>
      </c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 t="s">
        <v>8</v>
      </c>
      <c r="DC143"/>
      <c r="DD143"/>
      <c r="DE143"/>
      <c r="DF143"/>
      <c r="DG143"/>
      <c r="DH143"/>
      <c r="DI143"/>
      <c r="DJ143"/>
      <c r="DK143"/>
      <c r="DL143"/>
      <c r="DM143"/>
      <c r="DN143"/>
      <c r="DO143"/>
    </row>
    <row r="144" spans="1:119" s="6" customFormat="1">
      <c r="A144" t="str">
        <f>HYPERLINK(".\links\pep\TI-151-pep.txt","TI-151")</f>
        <v>TI-151</v>
      </c>
      <c r="B144">
        <v>151</v>
      </c>
      <c r="C144" t="s">
        <v>7</v>
      </c>
      <c r="D144">
        <v>129</v>
      </c>
      <c r="E144">
        <v>0</v>
      </c>
      <c r="F144" t="str">
        <f>HYPERLINK(".\links\cds\TI-151-cds.txt","TI-151")</f>
        <v>TI-151</v>
      </c>
      <c r="G144">
        <v>390</v>
      </c>
      <c r="H144"/>
      <c r="I144" t="s">
        <v>29</v>
      </c>
      <c r="J144" t="s">
        <v>6</v>
      </c>
      <c r="K144">
        <v>1</v>
      </c>
      <c r="L144">
        <v>5</v>
      </c>
      <c r="M144">
        <f t="shared" si="2"/>
        <v>4</v>
      </c>
      <c r="N144" t="s">
        <v>1167</v>
      </c>
      <c r="O144" t="s">
        <v>1168</v>
      </c>
      <c r="P144" t="str">
        <f>HYPERLINK(".\links\NR-LIGHT\TI-151-NR-LIGHT.txt","NR-LIGHT")</f>
        <v>NR-LIGHT</v>
      </c>
      <c r="Q144" s="3">
        <v>4E-41</v>
      </c>
      <c r="R144">
        <v>100</v>
      </c>
      <c r="S144" t="str">
        <f>HYPERLINK(".\links\NR-LIGHT\TI-151-NR-LIGHT.txt","salivary secreted protein")</f>
        <v>salivary secreted protein</v>
      </c>
      <c r="T144" t="str">
        <f>HYPERLINK("http://www.ncbi.nlm.nih.gov/sutils/blink.cgi?pid=149689094","4E-041")</f>
        <v>4E-041</v>
      </c>
      <c r="U144" t="str">
        <f>HYPERLINK("http://www.ncbi.nlm.nih.gov/protein/149689094","gi|149689094")</f>
        <v>gi|149689094</v>
      </c>
      <c r="V144">
        <v>168</v>
      </c>
      <c r="W144">
        <v>128</v>
      </c>
      <c r="X144">
        <v>129</v>
      </c>
      <c r="Y144">
        <v>65</v>
      </c>
      <c r="Z144">
        <v>100</v>
      </c>
      <c r="AA144">
        <v>44</v>
      </c>
      <c r="AB144">
        <v>1</v>
      </c>
      <c r="AC144">
        <v>1</v>
      </c>
      <c r="AD144">
        <v>1</v>
      </c>
      <c r="AE144">
        <v>1</v>
      </c>
      <c r="AF144"/>
      <c r="AG144" t="s">
        <v>13</v>
      </c>
      <c r="AH144" t="s">
        <v>51</v>
      </c>
      <c r="AI144" t="s">
        <v>273</v>
      </c>
      <c r="AJ144" t="s">
        <v>8</v>
      </c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 t="str">
        <f>HYPERLINK(".\links\PREV-RHOD-PEP\TI-151-PREV-RHOD-PEP.txt","Contig17819_86")</f>
        <v>Contig17819_86</v>
      </c>
      <c r="AY144" s="3">
        <v>2.9999999999999999E-30</v>
      </c>
      <c r="AZ144" t="s">
        <v>998</v>
      </c>
      <c r="BA144">
        <v>126</v>
      </c>
      <c r="BB144">
        <v>125</v>
      </c>
      <c r="BC144">
        <v>126</v>
      </c>
      <c r="BD144">
        <v>53</v>
      </c>
      <c r="BE144">
        <v>100</v>
      </c>
      <c r="BF144">
        <v>61</v>
      </c>
      <c r="BG144">
        <v>6</v>
      </c>
      <c r="BH144">
        <v>1</v>
      </c>
      <c r="BI144">
        <v>1</v>
      </c>
      <c r="BJ144">
        <v>1</v>
      </c>
      <c r="BK144" t="s">
        <v>8</v>
      </c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 t="s">
        <v>8</v>
      </c>
      <c r="CC144"/>
      <c r="CD144"/>
      <c r="CE144" t="s">
        <v>8</v>
      </c>
      <c r="CF144"/>
      <c r="CG144"/>
      <c r="CH144" t="s">
        <v>8</v>
      </c>
      <c r="CI144"/>
      <c r="CJ144" t="s">
        <v>8</v>
      </c>
      <c r="CK144"/>
      <c r="CL144" t="s">
        <v>8</v>
      </c>
      <c r="CM144"/>
      <c r="CN144" t="s">
        <v>8</v>
      </c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 t="s">
        <v>8</v>
      </c>
      <c r="DC144"/>
      <c r="DD144"/>
      <c r="DE144"/>
      <c r="DF144"/>
      <c r="DG144"/>
      <c r="DH144"/>
      <c r="DI144"/>
      <c r="DJ144"/>
      <c r="DK144"/>
      <c r="DL144"/>
      <c r="DM144"/>
      <c r="DN144"/>
      <c r="DO144"/>
    </row>
    <row r="145" spans="1:119" s="6" customFormat="1">
      <c r="A145" s="6" t="str">
        <f>HYPERLINK(".\links\pep\TI-144-pep.txt","TI-144")</f>
        <v>TI-144</v>
      </c>
      <c r="B145" s="6">
        <v>144</v>
      </c>
      <c r="C145" s="6" t="s">
        <v>12</v>
      </c>
      <c r="D145" s="6">
        <v>41</v>
      </c>
      <c r="E145" s="6">
        <v>0</v>
      </c>
      <c r="F145" s="6" t="str">
        <f>HYPERLINK(".\links\cds\TI-144-cds.txt","TI-144")</f>
        <v>TI-144</v>
      </c>
      <c r="G145" s="6">
        <v>126</v>
      </c>
      <c r="I145" s="6" t="s">
        <v>8</v>
      </c>
      <c r="J145" s="6" t="s">
        <v>6</v>
      </c>
      <c r="K145" s="6">
        <v>2</v>
      </c>
      <c r="L145" s="6">
        <v>3</v>
      </c>
      <c r="M145" s="6">
        <f t="shared" si="2"/>
        <v>1</v>
      </c>
      <c r="N145" s="6" t="s">
        <v>1170</v>
      </c>
      <c r="O145" s="6" t="s">
        <v>1171</v>
      </c>
      <c r="S145" s="6" t="s">
        <v>8</v>
      </c>
      <c r="AJ145" s="6" t="s">
        <v>8</v>
      </c>
      <c r="AX145" s="6" t="s">
        <v>8</v>
      </c>
      <c r="BK145" s="6" t="s">
        <v>8</v>
      </c>
      <c r="CB145" s="6" t="s">
        <v>8</v>
      </c>
      <c r="CE145" s="6" t="s">
        <v>8</v>
      </c>
      <c r="CH145" s="6" t="s">
        <v>8</v>
      </c>
      <c r="CJ145" s="6" t="s">
        <v>8</v>
      </c>
      <c r="CL145" s="6" t="s">
        <v>8</v>
      </c>
      <c r="CN145" s="6" t="s">
        <v>8</v>
      </c>
      <c r="DB145" s="6" t="s">
        <v>8</v>
      </c>
    </row>
    <row r="146" spans="1:119" s="6" customFormat="1">
      <c r="A146" s="6" t="str">
        <f>HYPERLINK(".\links\pep\TI-140-pep.txt","TI-140")</f>
        <v>TI-140</v>
      </c>
      <c r="B146" s="6">
        <v>140</v>
      </c>
      <c r="C146" s="6" t="s">
        <v>12</v>
      </c>
      <c r="D146" s="6">
        <v>13</v>
      </c>
      <c r="E146" s="6">
        <v>0</v>
      </c>
      <c r="F146" s="6" t="str">
        <f>HYPERLINK(".\links\cds\TI-140-cds.txt","TI-140")</f>
        <v>TI-140</v>
      </c>
      <c r="G146" s="6">
        <v>42</v>
      </c>
      <c r="I146" s="6" t="s">
        <v>8</v>
      </c>
      <c r="J146" s="6" t="s">
        <v>6</v>
      </c>
      <c r="K146" s="6">
        <v>0</v>
      </c>
      <c r="L146" s="6">
        <v>1</v>
      </c>
      <c r="M146" s="6">
        <f t="shared" si="2"/>
        <v>1</v>
      </c>
      <c r="N146" s="6" t="s">
        <v>1170</v>
      </c>
      <c r="O146" s="6" t="s">
        <v>1171</v>
      </c>
      <c r="S146" s="6" t="s">
        <v>8</v>
      </c>
      <c r="AJ146" s="6" t="s">
        <v>8</v>
      </c>
      <c r="AX146" s="6" t="s">
        <v>8</v>
      </c>
      <c r="BK146" s="6" t="s">
        <v>8</v>
      </c>
      <c r="CB146" s="6" t="s">
        <v>8</v>
      </c>
      <c r="CE146" s="6" t="s">
        <v>8</v>
      </c>
      <c r="CH146" s="6" t="s">
        <v>8</v>
      </c>
      <c r="CJ146" s="6" t="s">
        <v>8</v>
      </c>
      <c r="CL146" s="6" t="s">
        <v>8</v>
      </c>
      <c r="CN146" s="6" t="s">
        <v>8</v>
      </c>
      <c r="DB146" s="6" t="s">
        <v>8</v>
      </c>
    </row>
    <row r="147" spans="1:119" s="6" customFormat="1">
      <c r="A147" s="6" t="str">
        <f>HYPERLINK(".\links\pep\TI-132-pep.txt","TI-132")</f>
        <v>TI-132</v>
      </c>
      <c r="B147" s="6">
        <v>132</v>
      </c>
      <c r="C147" s="6" t="s">
        <v>22</v>
      </c>
      <c r="D147" s="6">
        <v>48</v>
      </c>
      <c r="E147" s="6">
        <v>0</v>
      </c>
      <c r="F147" s="6" t="str">
        <f>HYPERLINK(".\links\cds\TI-132-cds.txt","TI-132")</f>
        <v>TI-132</v>
      </c>
      <c r="G147" s="6">
        <v>147</v>
      </c>
      <c r="I147" s="6" t="s">
        <v>8</v>
      </c>
      <c r="J147" s="6" t="s">
        <v>6</v>
      </c>
      <c r="K147" s="6">
        <v>0</v>
      </c>
      <c r="L147" s="6">
        <v>1</v>
      </c>
      <c r="M147" s="6">
        <f t="shared" si="2"/>
        <v>1</v>
      </c>
      <c r="N147" s="6" t="s">
        <v>1170</v>
      </c>
      <c r="O147" s="6" t="s">
        <v>1171</v>
      </c>
      <c r="S147" s="6" t="s">
        <v>8</v>
      </c>
      <c r="AJ147" s="6" t="s">
        <v>8</v>
      </c>
      <c r="AX147" s="6" t="s">
        <v>8</v>
      </c>
      <c r="BK147" s="6" t="s">
        <v>8</v>
      </c>
      <c r="CB147" s="6" t="s">
        <v>8</v>
      </c>
      <c r="CE147" s="6" t="s">
        <v>8</v>
      </c>
      <c r="CH147" s="6" t="s">
        <v>8</v>
      </c>
      <c r="CJ147" s="6" t="s">
        <v>8</v>
      </c>
      <c r="CL147" s="6" t="s">
        <v>8</v>
      </c>
      <c r="CN147" s="6" t="s">
        <v>8</v>
      </c>
      <c r="DB147" s="6" t="s">
        <v>8</v>
      </c>
    </row>
    <row r="148" spans="1:119" s="6" customFormat="1">
      <c r="A148" t="str">
        <f>HYPERLINK(".\links\pep\TI-126-pep.txt","TI-126")</f>
        <v>TI-126</v>
      </c>
      <c r="B148">
        <v>126</v>
      </c>
      <c r="C148" t="s">
        <v>10</v>
      </c>
      <c r="D148">
        <v>265</v>
      </c>
      <c r="E148">
        <v>0</v>
      </c>
      <c r="F148" t="str">
        <f>HYPERLINK(".\links\cds\TI-126-cds.txt","TI-126")</f>
        <v>TI-126</v>
      </c>
      <c r="G148">
        <v>794</v>
      </c>
      <c r="H148"/>
      <c r="I148" t="s">
        <v>8</v>
      </c>
      <c r="J148" t="s">
        <v>8</v>
      </c>
      <c r="K148">
        <v>2</v>
      </c>
      <c r="L148">
        <v>4</v>
      </c>
      <c r="M148">
        <f t="shared" ref="M148:M204" si="3">ABS(K148-L148)</f>
        <v>2</v>
      </c>
      <c r="N148" t="s">
        <v>1276</v>
      </c>
      <c r="O148" t="s">
        <v>1185</v>
      </c>
      <c r="P148" t="str">
        <f>HYPERLINK(".\links\GO\TI-126-GO.txt","GO")</f>
        <v>GO</v>
      </c>
      <c r="Q148" s="3">
        <v>1.9999999999999999E-47</v>
      </c>
      <c r="R148">
        <v>69.7</v>
      </c>
      <c r="S148" t="str">
        <f>HYPERLINK(".\links\NR-LIGHT\TI-126-NR-LIGHT.txt","NADH dehydrogenase subunit I")</f>
        <v>NADH dehydrogenase subunit I</v>
      </c>
      <c r="T148" t="str">
        <f>HYPERLINK("http://www.ncbi.nlm.nih.gov/sutils/blink.cgi?pid=291621807","1E-126")</f>
        <v>1E-126</v>
      </c>
      <c r="U148" t="str">
        <f>HYPERLINK("http://www.ncbi.nlm.nih.gov/protein/291621807","gi|291621807")</f>
        <v>gi|291621807</v>
      </c>
      <c r="V148">
        <v>454</v>
      </c>
      <c r="W148">
        <v>260</v>
      </c>
      <c r="X148">
        <v>303</v>
      </c>
      <c r="Y148">
        <v>89</v>
      </c>
      <c r="Z148">
        <v>86</v>
      </c>
      <c r="AA148">
        <v>28</v>
      </c>
      <c r="AB148">
        <v>0</v>
      </c>
      <c r="AC148">
        <v>1</v>
      </c>
      <c r="AD148">
        <v>2</v>
      </c>
      <c r="AE148">
        <v>1</v>
      </c>
      <c r="AF148"/>
      <c r="AG148" t="s">
        <v>13</v>
      </c>
      <c r="AH148" t="s">
        <v>51</v>
      </c>
      <c r="AI148" t="s">
        <v>273</v>
      </c>
      <c r="AJ148" t="str">
        <f>HYPERLINK(".\links\SWISSP\TI-126-SWISSP.txt","NADH-ubiquinone oxidoreductase chain 1 OS=Anopheles quadrimaculatus GN=ND1 PE=3")</f>
        <v>NADH-ubiquinone oxidoreductase chain 1 OS=Anopheles quadrimaculatus GN=ND1 PE=3</v>
      </c>
      <c r="AK148" t="str">
        <f>HYPERLINK("http://www.uniprot.org/uniprot/P33502","5E-089")</f>
        <v>5E-089</v>
      </c>
      <c r="AL148" t="s">
        <v>142</v>
      </c>
      <c r="AM148">
        <v>327</v>
      </c>
      <c r="AN148">
        <v>260</v>
      </c>
      <c r="AO148">
        <v>314</v>
      </c>
      <c r="AP148">
        <v>61</v>
      </c>
      <c r="AQ148">
        <v>83</v>
      </c>
      <c r="AR148">
        <v>101</v>
      </c>
      <c r="AS148">
        <v>0</v>
      </c>
      <c r="AT148">
        <v>8</v>
      </c>
      <c r="AU148">
        <v>2</v>
      </c>
      <c r="AV148">
        <v>1</v>
      </c>
      <c r="AW148" t="s">
        <v>143</v>
      </c>
      <c r="AX148" t="str">
        <f>HYPERLINK(".\links\PREV-RHOD-PEP\TI-126-PREV-RHOD-PEP.txt","Contig22712_1")</f>
        <v>Contig22712_1</v>
      </c>
      <c r="AY148" s="3">
        <v>6E-11</v>
      </c>
      <c r="AZ148" t="s">
        <v>1057</v>
      </c>
      <c r="BA148">
        <v>63.9</v>
      </c>
      <c r="BB148">
        <v>32</v>
      </c>
      <c r="BC148">
        <v>33</v>
      </c>
      <c r="BD148">
        <v>96</v>
      </c>
      <c r="BE148">
        <v>100</v>
      </c>
      <c r="BF148">
        <v>1</v>
      </c>
      <c r="BG148">
        <v>0</v>
      </c>
      <c r="BH148">
        <v>1</v>
      </c>
      <c r="BI148">
        <v>110</v>
      </c>
      <c r="BJ148">
        <v>1</v>
      </c>
      <c r="BK148" t="s">
        <v>627</v>
      </c>
      <c r="BL148">
        <f>HYPERLINK(".\links\GO\TI-126-GO.txt",4E-81)</f>
        <v>3.9999999999999998E-81</v>
      </c>
      <c r="BM148" t="s">
        <v>373</v>
      </c>
      <c r="BN148" t="s">
        <v>373</v>
      </c>
      <c r="BO148"/>
      <c r="BP148" t="s">
        <v>374</v>
      </c>
      <c r="BQ148" s="3">
        <v>6.0000000000000002E-54</v>
      </c>
      <c r="BR148" t="s">
        <v>608</v>
      </c>
      <c r="BS148" t="s">
        <v>323</v>
      </c>
      <c r="BT148" t="s">
        <v>334</v>
      </c>
      <c r="BU148" t="s">
        <v>609</v>
      </c>
      <c r="BV148" s="3">
        <v>6.0000000000000002E-54</v>
      </c>
      <c r="BW148" t="s">
        <v>628</v>
      </c>
      <c r="BX148" t="s">
        <v>373</v>
      </c>
      <c r="BY148"/>
      <c r="BZ148" t="s">
        <v>629</v>
      </c>
      <c r="CA148" s="3">
        <v>6.0000000000000002E-54</v>
      </c>
      <c r="CB148" t="s">
        <v>8</v>
      </c>
      <c r="CC148"/>
      <c r="CD148"/>
      <c r="CE148" t="s">
        <v>8</v>
      </c>
      <c r="CF148"/>
      <c r="CG148"/>
      <c r="CH148" t="s">
        <v>8</v>
      </c>
      <c r="CI148"/>
      <c r="CJ148" t="s">
        <v>8</v>
      </c>
      <c r="CK148"/>
      <c r="CL148" t="s">
        <v>8</v>
      </c>
      <c r="CM148"/>
      <c r="CN148" t="str">
        <f>HYPERLINK(".\links\MIT-PLA\TI-126-MIT-PLA.txt","Triatoma infestans clone TI-62 NADH dehydrogenase subunit 1 mRNA, complete cds;")</f>
        <v>Triatoma infestans clone TI-62 NADH dehydrogenase subunit 1 mRNA, complete cds;</v>
      </c>
      <c r="CO148" t="str">
        <f>HYPERLINK("http://www.ncbi.nlm.nih.gov/entrez/viewer.fcgi?db=nucleotide&amp;val=149898870","1E-116")</f>
        <v>1E-116</v>
      </c>
      <c r="CP148" t="str">
        <f>HYPERLINK("http://www.ncbi.nlm.nih.gov/entrez/viewer.fcgi?db=nucleotide&amp;val=149898870","gi|149898870")</f>
        <v>gi|149898870</v>
      </c>
      <c r="CQ148">
        <v>414</v>
      </c>
      <c r="CR148">
        <v>713</v>
      </c>
      <c r="CS148">
        <v>870</v>
      </c>
      <c r="CT148">
        <v>99</v>
      </c>
      <c r="CU148">
        <v>82</v>
      </c>
      <c r="CV148">
        <v>2</v>
      </c>
      <c r="CW148">
        <v>0</v>
      </c>
      <c r="CX148">
        <v>1</v>
      </c>
      <c r="CY148">
        <v>4</v>
      </c>
      <c r="CZ148">
        <v>3</v>
      </c>
      <c r="DA148" t="s">
        <v>51</v>
      </c>
      <c r="DB148" t="str">
        <f>HYPERLINK(".\links\RRNA\TI-126-RRNA.txt","Carpilius sp. SR20 mitochondrial 16S rRNA gene (partial), tRNA-Leu gene and")</f>
        <v>Carpilius sp. SR20 mitochondrial 16S rRNA gene (partial), tRNA-Leu gene and</v>
      </c>
      <c r="DC148" t="str">
        <f>HYPERLINK("http://www.ncbi.nlm.nih.gov/entrez/viewer.fcgi?db=nucleotide&amp;val=312827980","3E-012")</f>
        <v>3E-012</v>
      </c>
      <c r="DD148" t="str">
        <f>HYPERLINK("http://www.ncbi.nlm.nih.gov/entrez/viewer.fcgi?db=nucleotide&amp;val=312827980","gi|312827980")</f>
        <v>gi|312827980</v>
      </c>
      <c r="DE148">
        <v>71.900000000000006</v>
      </c>
      <c r="DF148">
        <v>71</v>
      </c>
      <c r="DG148">
        <v>1161</v>
      </c>
      <c r="DH148">
        <v>87</v>
      </c>
      <c r="DI148">
        <v>6</v>
      </c>
      <c r="DJ148">
        <v>9</v>
      </c>
      <c r="DK148">
        <v>0</v>
      </c>
      <c r="DL148">
        <v>827</v>
      </c>
      <c r="DM148">
        <v>80</v>
      </c>
      <c r="DN148">
        <v>1</v>
      </c>
      <c r="DO148" t="s">
        <v>51</v>
      </c>
    </row>
    <row r="149" spans="1:119" s="6" customFormat="1">
      <c r="A149" t="str">
        <f>HYPERLINK(".\links\pep\TI-125-pep.txt","TI-125")</f>
        <v>TI-125</v>
      </c>
      <c r="B149">
        <v>125</v>
      </c>
      <c r="C149" t="s">
        <v>16</v>
      </c>
      <c r="D149">
        <v>222</v>
      </c>
      <c r="E149" s="2">
        <v>3.1531530000000001</v>
      </c>
      <c r="F149" t="str">
        <f>HYPERLINK(".\links\cds\TI-125-cds.txt","TI-125")</f>
        <v>TI-125</v>
      </c>
      <c r="G149">
        <v>669</v>
      </c>
      <c r="H149"/>
      <c r="I149" t="s">
        <v>8</v>
      </c>
      <c r="J149" t="s">
        <v>6</v>
      </c>
      <c r="K149">
        <v>0</v>
      </c>
      <c r="L149">
        <v>1</v>
      </c>
      <c r="M149">
        <f t="shared" si="3"/>
        <v>1</v>
      </c>
      <c r="N149" t="s">
        <v>1275</v>
      </c>
      <c r="O149" t="s">
        <v>1187</v>
      </c>
      <c r="P149" t="str">
        <f>HYPERLINK(".\links\GO\TI-125-GO.txt","GO")</f>
        <v>GO</v>
      </c>
      <c r="Q149" s="3">
        <v>9.0000000000000002E-25</v>
      </c>
      <c r="R149">
        <v>69.099999999999994</v>
      </c>
      <c r="S149" t="str">
        <f>HYPERLINK(".\links\NR-LIGHT\TI-125-NR-LIGHT.txt","15-hydroxyprostaglandin dehydrogenase")</f>
        <v>15-hydroxyprostaglandin dehydrogenase</v>
      </c>
      <c r="T149" t="str">
        <f>HYPERLINK("http://www.ncbi.nlm.nih.gov/sutils/blink.cgi?pid=328779312","1E-032")</f>
        <v>1E-032</v>
      </c>
      <c r="U149" t="str">
        <f>HYPERLINK("http://www.ncbi.nlm.nih.gov/protein/328779312","gi|328779312")</f>
        <v>gi|328779312</v>
      </c>
      <c r="V149">
        <v>141</v>
      </c>
      <c r="W149">
        <v>178</v>
      </c>
      <c r="X149">
        <v>272</v>
      </c>
      <c r="Y149">
        <v>39</v>
      </c>
      <c r="Z149">
        <v>66</v>
      </c>
      <c r="AA149">
        <v>110</v>
      </c>
      <c r="AB149">
        <v>4</v>
      </c>
      <c r="AC149">
        <v>45</v>
      </c>
      <c r="AD149">
        <v>23</v>
      </c>
      <c r="AE149">
        <v>1</v>
      </c>
      <c r="AF149"/>
      <c r="AG149" t="s">
        <v>13</v>
      </c>
      <c r="AH149" t="s">
        <v>51</v>
      </c>
      <c r="AI149" t="s">
        <v>83</v>
      </c>
      <c r="AJ149" t="str">
        <f>HYPERLINK(".\links\SWISSP\TI-125-SWISSP.txt","15-hydroxyprostaglandin dehydrogenase")</f>
        <v>15-hydroxyprostaglandin dehydrogenase</v>
      </c>
      <c r="AK149" t="str">
        <f>HYPERLINK("http://www.uniprot.org/uniprot/Q8VCC1","3E-030")</f>
        <v>3E-030</v>
      </c>
      <c r="AL149" t="s">
        <v>86</v>
      </c>
      <c r="AM149">
        <v>131</v>
      </c>
      <c r="AN149">
        <v>168</v>
      </c>
      <c r="AO149">
        <v>269</v>
      </c>
      <c r="AP149">
        <v>36</v>
      </c>
      <c r="AQ149">
        <v>63</v>
      </c>
      <c r="AR149">
        <v>108</v>
      </c>
      <c r="AS149">
        <v>2</v>
      </c>
      <c r="AT149">
        <v>28</v>
      </c>
      <c r="AU149">
        <v>23</v>
      </c>
      <c r="AV149">
        <v>1</v>
      </c>
      <c r="AW149" t="s">
        <v>87</v>
      </c>
      <c r="AX149" t="str">
        <f>HYPERLINK(".\links\PREV-RHOD-PEP\TI-125-PREV-RHOD-PEP.txt","Contig17866_7")</f>
        <v>Contig17866_7</v>
      </c>
      <c r="AY149" s="3">
        <v>1.0000000000000001E-63</v>
      </c>
      <c r="AZ149" t="s">
        <v>1008</v>
      </c>
      <c r="BA149">
        <v>238</v>
      </c>
      <c r="BB149">
        <v>183</v>
      </c>
      <c r="BC149">
        <v>259</v>
      </c>
      <c r="BD149">
        <v>63</v>
      </c>
      <c r="BE149">
        <v>71</v>
      </c>
      <c r="BF149">
        <v>67</v>
      </c>
      <c r="BG149">
        <v>3</v>
      </c>
      <c r="BH149">
        <v>33</v>
      </c>
      <c r="BI149">
        <v>27</v>
      </c>
      <c r="BJ149">
        <v>1</v>
      </c>
      <c r="BK149" t="s">
        <v>442</v>
      </c>
      <c r="BL149">
        <f>HYPERLINK(".\links\GO\TI-125-GO.txt",2E-31)</f>
        <v>2.0000000000000002E-31</v>
      </c>
      <c r="BM149" t="s">
        <v>443</v>
      </c>
      <c r="BN149" t="s">
        <v>444</v>
      </c>
      <c r="BO149" t="s">
        <v>445</v>
      </c>
      <c r="BP149" t="s">
        <v>446</v>
      </c>
      <c r="BQ149" s="3">
        <v>9.0000000000000002E-25</v>
      </c>
      <c r="BR149" t="s">
        <v>447</v>
      </c>
      <c r="BS149" t="s">
        <v>323</v>
      </c>
      <c r="BT149" t="s">
        <v>334</v>
      </c>
      <c r="BU149" t="s">
        <v>448</v>
      </c>
      <c r="BV149" s="3">
        <v>9.0000000000000002E-25</v>
      </c>
      <c r="BW149" t="s">
        <v>449</v>
      </c>
      <c r="BX149" t="s">
        <v>444</v>
      </c>
      <c r="BY149" t="s">
        <v>445</v>
      </c>
      <c r="BZ149" t="s">
        <v>450</v>
      </c>
      <c r="CA149" s="3">
        <v>9.0000000000000002E-25</v>
      </c>
      <c r="CB149" t="s">
        <v>8</v>
      </c>
      <c r="CC149"/>
      <c r="CD149"/>
      <c r="CE149" t="s">
        <v>8</v>
      </c>
      <c r="CF149"/>
      <c r="CG149"/>
      <c r="CH149" t="s">
        <v>8</v>
      </c>
      <c r="CI149"/>
      <c r="CJ149" t="s">
        <v>8</v>
      </c>
      <c r="CK149"/>
      <c r="CL149" t="s">
        <v>8</v>
      </c>
      <c r="CM149"/>
      <c r="CN149" t="s">
        <v>8</v>
      </c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 t="s">
        <v>8</v>
      </c>
      <c r="DC149"/>
      <c r="DD149"/>
      <c r="DE149"/>
      <c r="DF149"/>
      <c r="DG149"/>
      <c r="DH149"/>
      <c r="DI149"/>
      <c r="DJ149"/>
      <c r="DK149"/>
      <c r="DL149"/>
      <c r="DM149"/>
      <c r="DN149"/>
      <c r="DO149"/>
    </row>
    <row r="150" spans="1:119" s="6" customFormat="1">
      <c r="A150" t="str">
        <f>HYPERLINK(".\links\pep\TI-12-pep.txt","TI-12")</f>
        <v>TI-12</v>
      </c>
      <c r="B150">
        <v>12</v>
      </c>
      <c r="C150" t="s">
        <v>19</v>
      </c>
      <c r="D150">
        <v>185</v>
      </c>
      <c r="E150">
        <v>0</v>
      </c>
      <c r="F150" t="str">
        <f>HYPERLINK(".\links\cds\TI-12-cds.txt","TI-12")</f>
        <v>TI-12</v>
      </c>
      <c r="G150">
        <v>552</v>
      </c>
      <c r="H150"/>
      <c r="I150" t="s">
        <v>8</v>
      </c>
      <c r="J150" t="s">
        <v>8</v>
      </c>
      <c r="K150">
        <v>0</v>
      </c>
      <c r="L150">
        <v>1</v>
      </c>
      <c r="M150">
        <f t="shared" si="3"/>
        <v>1</v>
      </c>
      <c r="N150" t="s">
        <v>1174</v>
      </c>
      <c r="O150" t="s">
        <v>1175</v>
      </c>
      <c r="P150" t="str">
        <f>HYPERLINK(".\links\NR-LIGHT\TI-12-NR-LIGHT.txt","NR-LIGHT")</f>
        <v>NR-LIGHT</v>
      </c>
      <c r="Q150" s="3">
        <v>6.9999999999999997E-81</v>
      </c>
      <c r="R150">
        <v>47.1</v>
      </c>
      <c r="S150" t="str">
        <f>HYPERLINK(".\links\NR-LIGHT\TI-12-NR-LIGHT.txt","cathepsin D")</f>
        <v>cathepsin D</v>
      </c>
      <c r="T150" t="str">
        <f>HYPERLINK("http://www.ncbi.nlm.nih.gov/sutils/blink.cgi?pid=301030231","7E-081")</f>
        <v>7E-081</v>
      </c>
      <c r="U150" t="str">
        <f>HYPERLINK("http://www.ncbi.nlm.nih.gov/protein/301030231","gi|301030231")</f>
        <v>gi|301030231</v>
      </c>
      <c r="V150">
        <v>301</v>
      </c>
      <c r="W150">
        <v>183</v>
      </c>
      <c r="X150">
        <v>390</v>
      </c>
      <c r="Y150">
        <v>75</v>
      </c>
      <c r="Z150">
        <v>47</v>
      </c>
      <c r="AA150">
        <v>45</v>
      </c>
      <c r="AB150">
        <v>0</v>
      </c>
      <c r="AC150">
        <v>32</v>
      </c>
      <c r="AD150">
        <v>1</v>
      </c>
      <c r="AE150">
        <v>1</v>
      </c>
      <c r="AF150"/>
      <c r="AG150" t="s">
        <v>13</v>
      </c>
      <c r="AH150" t="s">
        <v>51</v>
      </c>
      <c r="AI150" t="s">
        <v>273</v>
      </c>
      <c r="AJ150" t="str">
        <f>HYPERLINK(".\links\SWISSP\TI-12-SWISSP.txt","Probable vacuolar protease A OS=Trichophyton verrucosum (strain HKI 0517)")</f>
        <v>Probable vacuolar protease A OS=Trichophyton verrucosum (strain HKI 0517)</v>
      </c>
      <c r="AK150" t="str">
        <f>HYPERLINK("http://www.uniprot.org/uniprot/D4DEN7","2E-043")</f>
        <v>2E-043</v>
      </c>
      <c r="AL150" t="s">
        <v>94</v>
      </c>
      <c r="AM150">
        <v>174</v>
      </c>
      <c r="AN150">
        <v>174</v>
      </c>
      <c r="AO150">
        <v>400</v>
      </c>
      <c r="AP150">
        <v>46</v>
      </c>
      <c r="AQ150">
        <v>44</v>
      </c>
      <c r="AR150">
        <v>96</v>
      </c>
      <c r="AS150">
        <v>7</v>
      </c>
      <c r="AT150">
        <v>54</v>
      </c>
      <c r="AU150">
        <v>2</v>
      </c>
      <c r="AV150">
        <v>1</v>
      </c>
      <c r="AW150" t="s">
        <v>95</v>
      </c>
      <c r="AX150" t="str">
        <f>HYPERLINK(".\links\PREV-RHOD-PEP\TI-12-PREV-RHOD-PEP.txt","Contig17955_3")</f>
        <v>Contig17955_3</v>
      </c>
      <c r="AY150" s="3">
        <v>9.9999999999999992E-72</v>
      </c>
      <c r="AZ150" t="s">
        <v>1010</v>
      </c>
      <c r="BA150">
        <v>265</v>
      </c>
      <c r="BB150">
        <v>183</v>
      </c>
      <c r="BC150">
        <v>371</v>
      </c>
      <c r="BD150">
        <v>67</v>
      </c>
      <c r="BE150">
        <v>50</v>
      </c>
      <c r="BF150">
        <v>60</v>
      </c>
      <c r="BG150">
        <v>0</v>
      </c>
      <c r="BH150">
        <v>14</v>
      </c>
      <c r="BI150">
        <v>1</v>
      </c>
      <c r="BJ150">
        <v>1</v>
      </c>
      <c r="BK150" t="s">
        <v>535</v>
      </c>
      <c r="BL150">
        <f>HYPERLINK(".\links\GO\TI-12-GO.txt",4E-41)</f>
        <v>4E-41</v>
      </c>
      <c r="BM150" t="s">
        <v>455</v>
      </c>
      <c r="BN150" t="s">
        <v>345</v>
      </c>
      <c r="BO150" t="s">
        <v>349</v>
      </c>
      <c r="BP150" t="s">
        <v>456</v>
      </c>
      <c r="BQ150" s="3">
        <v>4E-41</v>
      </c>
      <c r="BR150" t="s">
        <v>457</v>
      </c>
      <c r="BS150" t="s">
        <v>323</v>
      </c>
      <c r="BT150" t="s">
        <v>334</v>
      </c>
      <c r="BU150" t="s">
        <v>458</v>
      </c>
      <c r="BV150" s="3">
        <v>4E-41</v>
      </c>
      <c r="BW150" t="s">
        <v>459</v>
      </c>
      <c r="BX150" t="s">
        <v>345</v>
      </c>
      <c r="BY150" t="s">
        <v>349</v>
      </c>
      <c r="BZ150" t="s">
        <v>460</v>
      </c>
      <c r="CA150" s="3">
        <v>4E-41</v>
      </c>
      <c r="CB150" t="s">
        <v>8</v>
      </c>
      <c r="CC150"/>
      <c r="CD150"/>
      <c r="CE150" t="s">
        <v>8</v>
      </c>
      <c r="CF150"/>
      <c r="CG150"/>
      <c r="CH150" t="s">
        <v>8</v>
      </c>
      <c r="CI150"/>
      <c r="CJ150" t="s">
        <v>8</v>
      </c>
      <c r="CK150"/>
      <c r="CL150" t="s">
        <v>8</v>
      </c>
      <c r="CM150"/>
      <c r="CN150" t="s">
        <v>8</v>
      </c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 t="s">
        <v>8</v>
      </c>
      <c r="DC150"/>
      <c r="DD150"/>
      <c r="DE150"/>
      <c r="DF150"/>
      <c r="DG150"/>
      <c r="DH150"/>
      <c r="DI150"/>
      <c r="DJ150"/>
      <c r="DK150"/>
      <c r="DL150"/>
      <c r="DM150"/>
      <c r="DN150"/>
      <c r="DO150"/>
    </row>
    <row r="151" spans="1:119" s="6" customFormat="1">
      <c r="A151" t="str">
        <f>HYPERLINK(".\links\pep\TI-112-pep.txt","TI-112")</f>
        <v>TI-112</v>
      </c>
      <c r="B151">
        <v>112</v>
      </c>
      <c r="C151" t="s">
        <v>7</v>
      </c>
      <c r="D151">
        <v>138</v>
      </c>
      <c r="E151">
        <v>0</v>
      </c>
      <c r="F151" t="str">
        <f>HYPERLINK(".\links\cds\TI-112-cds.txt","TI-112")</f>
        <v>TI-112</v>
      </c>
      <c r="G151">
        <v>417</v>
      </c>
      <c r="H151"/>
      <c r="I151" t="s">
        <v>29</v>
      </c>
      <c r="J151" t="s">
        <v>6</v>
      </c>
      <c r="K151">
        <v>0</v>
      </c>
      <c r="L151">
        <v>1</v>
      </c>
      <c r="M151">
        <f t="shared" si="3"/>
        <v>1</v>
      </c>
      <c r="N151" t="s">
        <v>1270</v>
      </c>
      <c r="O151" t="s">
        <v>1178</v>
      </c>
      <c r="P151" t="str">
        <f>HYPERLINK(".\links\NR-LIGHT\TI-112-NR-LIGHT.txt","NR-LIGHT")</f>
        <v>NR-LIGHT</v>
      </c>
      <c r="Q151" s="3">
        <v>2E-52</v>
      </c>
      <c r="R151">
        <v>24.2</v>
      </c>
      <c r="S151" t="str">
        <f>HYPERLINK(".\links\NR-LIGHT\TI-112-NR-LIGHT.txt","NADH dehydrogenase subunit 5")</f>
        <v>NADH dehydrogenase subunit 5</v>
      </c>
      <c r="T151" t="str">
        <f>HYPERLINK("http://www.ncbi.nlm.nih.gov/sutils/blink.cgi?pid=11182469","2E-052")</f>
        <v>2E-052</v>
      </c>
      <c r="U151" t="str">
        <f>HYPERLINK("http://www.ncbi.nlm.nih.gov/protein/11182469","gi|11182469")</f>
        <v>gi|11182469</v>
      </c>
      <c r="V151">
        <v>206</v>
      </c>
      <c r="W151">
        <v>137</v>
      </c>
      <c r="X151">
        <v>570</v>
      </c>
      <c r="Y151">
        <v>73</v>
      </c>
      <c r="Z151">
        <v>24</v>
      </c>
      <c r="AA151">
        <v>37</v>
      </c>
      <c r="AB151">
        <v>0</v>
      </c>
      <c r="AC151">
        <v>329</v>
      </c>
      <c r="AD151">
        <v>1</v>
      </c>
      <c r="AE151">
        <v>1</v>
      </c>
      <c r="AF151"/>
      <c r="AG151" t="s">
        <v>13</v>
      </c>
      <c r="AH151" t="s">
        <v>51</v>
      </c>
      <c r="AI151" t="s">
        <v>272</v>
      </c>
      <c r="AJ151" t="str">
        <f>HYPERLINK(".\links\SWISSP\TI-112-SWISSP.txt","NADH-ubiquinone oxidoreductase chain 5 OS=Drosophila melanogaster GN=mt:ND5 PE=2")</f>
        <v>NADH-ubiquinone oxidoreductase chain 5 OS=Drosophila melanogaster GN=mt:ND5 PE=2</v>
      </c>
      <c r="AK151" t="str">
        <f>HYPERLINK("http://www.uniprot.org/uniprot/P18932","4E-027")</f>
        <v>4E-027</v>
      </c>
      <c r="AL151" t="s">
        <v>139</v>
      </c>
      <c r="AM151">
        <v>119</v>
      </c>
      <c r="AN151">
        <v>138</v>
      </c>
      <c r="AO151">
        <v>572</v>
      </c>
      <c r="AP151">
        <v>42</v>
      </c>
      <c r="AQ151">
        <v>24</v>
      </c>
      <c r="AR151">
        <v>80</v>
      </c>
      <c r="AS151">
        <v>1</v>
      </c>
      <c r="AT151">
        <v>326</v>
      </c>
      <c r="AU151">
        <v>1</v>
      </c>
      <c r="AV151">
        <v>1</v>
      </c>
      <c r="AW151" t="s">
        <v>52</v>
      </c>
      <c r="AX151" t="str">
        <f>HYPERLINK(".\links\PREV-RHOD-PEP\TI-112-PREV-RHOD-PEP.txt","Contig7823_1")</f>
        <v>Contig7823_1</v>
      </c>
      <c r="AY151" s="3">
        <v>9.9999999999999994E-12</v>
      </c>
      <c r="AZ151" t="s">
        <v>1055</v>
      </c>
      <c r="BA151">
        <v>65.099999999999994</v>
      </c>
      <c r="BB151">
        <v>43</v>
      </c>
      <c r="BC151">
        <v>159</v>
      </c>
      <c r="BD151">
        <v>63</v>
      </c>
      <c r="BE151">
        <v>28</v>
      </c>
      <c r="BF151">
        <v>16</v>
      </c>
      <c r="BG151">
        <v>0</v>
      </c>
      <c r="BH151">
        <v>113</v>
      </c>
      <c r="BI151">
        <v>1</v>
      </c>
      <c r="BJ151">
        <v>1</v>
      </c>
      <c r="BK151" t="s">
        <v>615</v>
      </c>
      <c r="BL151">
        <f>HYPERLINK(".\links\GO\TI-112-GO.txt",1E-27)</f>
        <v>1E-27</v>
      </c>
      <c r="BM151" t="s">
        <v>373</v>
      </c>
      <c r="BN151" t="s">
        <v>373</v>
      </c>
      <c r="BO151"/>
      <c r="BP151" t="s">
        <v>374</v>
      </c>
      <c r="BQ151">
        <v>2.9999999999999998E-15</v>
      </c>
      <c r="BR151" t="s">
        <v>616</v>
      </c>
      <c r="BS151" t="s">
        <v>323</v>
      </c>
      <c r="BT151" t="s">
        <v>390</v>
      </c>
      <c r="BU151" t="s">
        <v>617</v>
      </c>
      <c r="BV151">
        <v>2.9999999999999998E-15</v>
      </c>
      <c r="BW151" t="s">
        <v>618</v>
      </c>
      <c r="BX151" t="s">
        <v>373</v>
      </c>
      <c r="BY151"/>
      <c r="BZ151" t="s">
        <v>619</v>
      </c>
      <c r="CA151">
        <v>2.9999999999999998E-15</v>
      </c>
      <c r="CB151" t="s">
        <v>8</v>
      </c>
      <c r="CC151"/>
      <c r="CD151"/>
      <c r="CE151" t="s">
        <v>8</v>
      </c>
      <c r="CF151"/>
      <c r="CG151"/>
      <c r="CH151" t="s">
        <v>8</v>
      </c>
      <c r="CI151"/>
      <c r="CJ151" t="s">
        <v>8</v>
      </c>
      <c r="CK151"/>
      <c r="CL151" t="s">
        <v>8</v>
      </c>
      <c r="CM151"/>
      <c r="CN151" t="s">
        <v>8</v>
      </c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 t="s">
        <v>8</v>
      </c>
      <c r="DC151"/>
      <c r="DD151"/>
      <c r="DE151"/>
      <c r="DF151"/>
      <c r="DG151"/>
      <c r="DH151"/>
      <c r="DI151"/>
      <c r="DJ151"/>
      <c r="DK151"/>
      <c r="DL151"/>
      <c r="DM151"/>
      <c r="DN151"/>
      <c r="DO151"/>
    </row>
    <row r="152" spans="1:119" s="6" customFormat="1">
      <c r="A152" t="str">
        <f>HYPERLINK(".\links\pep\TI-91-pep.txt","TI-91")</f>
        <v>TI-91</v>
      </c>
      <c r="B152">
        <v>91</v>
      </c>
      <c r="C152" t="s">
        <v>22</v>
      </c>
      <c r="D152">
        <v>133</v>
      </c>
      <c r="E152" s="2">
        <v>1.5037590000000001</v>
      </c>
      <c r="F152" t="str">
        <f>HYPERLINK(".\links\cds\TI-91-cds.txt","TI-91")</f>
        <v>TI-91</v>
      </c>
      <c r="G152">
        <v>396</v>
      </c>
      <c r="H152"/>
      <c r="I152" t="s">
        <v>8</v>
      </c>
      <c r="J152" t="s">
        <v>8</v>
      </c>
      <c r="K152">
        <v>1</v>
      </c>
      <c r="L152">
        <v>0</v>
      </c>
      <c r="M152">
        <f t="shared" si="3"/>
        <v>1</v>
      </c>
      <c r="N152" t="s">
        <v>1192</v>
      </c>
      <c r="O152" t="s">
        <v>1178</v>
      </c>
      <c r="P152" t="str">
        <f>HYPERLINK(".\links\NR-LIGHT\TI-91-NR-LIGHT.txt","NR-LIGHT")</f>
        <v>NR-LIGHT</v>
      </c>
      <c r="Q152" s="3">
        <v>6.9999999999999993E-24</v>
      </c>
      <c r="R152">
        <v>3</v>
      </c>
      <c r="S152" t="str">
        <f>HYPERLINK(".\links\NR-LIGHT\TI-91-NR-LIGHT.txt","hypothetical protein TcasGA2_TC012551")</f>
        <v>hypothetical protein TcasGA2_TC012551</v>
      </c>
      <c r="T152" t="str">
        <f>HYPERLINK("http://www.ncbi.nlm.nih.gov/sutils/blink.cgi?pid=270013885","7E-024")</f>
        <v>7E-024</v>
      </c>
      <c r="U152" t="str">
        <f>HYPERLINK("http://www.ncbi.nlm.nih.gov/protein/270013885","gi|270013885")</f>
        <v>gi|270013885</v>
      </c>
      <c r="V152">
        <v>111</v>
      </c>
      <c r="W152">
        <v>116</v>
      </c>
      <c r="X152">
        <v>3944</v>
      </c>
      <c r="Y152">
        <v>48</v>
      </c>
      <c r="Z152">
        <v>3</v>
      </c>
      <c r="AA152">
        <v>61</v>
      </c>
      <c r="AB152">
        <v>2</v>
      </c>
      <c r="AC152">
        <v>3282</v>
      </c>
      <c r="AD152">
        <v>3</v>
      </c>
      <c r="AE152">
        <v>1</v>
      </c>
      <c r="AF152"/>
      <c r="AG152" t="s">
        <v>13</v>
      </c>
      <c r="AH152" t="s">
        <v>51</v>
      </c>
      <c r="AI152" t="s">
        <v>266</v>
      </c>
      <c r="AJ152" t="str">
        <f>HYPERLINK(".\links\SWISSP\TI-91-SWISSP.txt","Hemocytin OS=Bombyx mori PE=2 SV=1")</f>
        <v>Hemocytin OS=Bombyx mori PE=2 SV=1</v>
      </c>
      <c r="AK152" t="str">
        <f>HYPERLINK("http://www.uniprot.org/uniprot/P98092","1E-011")</f>
        <v>1E-011</v>
      </c>
      <c r="AL152" t="s">
        <v>104</v>
      </c>
      <c r="AM152">
        <v>68.599999999999994</v>
      </c>
      <c r="AN152">
        <v>113</v>
      </c>
      <c r="AO152">
        <v>3133</v>
      </c>
      <c r="AP152">
        <v>36</v>
      </c>
      <c r="AQ152">
        <v>4</v>
      </c>
      <c r="AR152">
        <v>74</v>
      </c>
      <c r="AS152">
        <v>4</v>
      </c>
      <c r="AT152">
        <v>2284</v>
      </c>
      <c r="AU152">
        <v>5</v>
      </c>
      <c r="AV152">
        <v>1</v>
      </c>
      <c r="AW152" t="s">
        <v>54</v>
      </c>
      <c r="AX152" t="str">
        <f>HYPERLINK(".\links\PREV-RHOD-PEP\TI-91-PREV-RHOD-PEP.txt","Contig17685_3")</f>
        <v>Contig17685_3</v>
      </c>
      <c r="AY152" s="3">
        <v>2.0000000000000001E-33</v>
      </c>
      <c r="AZ152" t="s">
        <v>1020</v>
      </c>
      <c r="BA152">
        <v>136</v>
      </c>
      <c r="BB152">
        <v>124</v>
      </c>
      <c r="BC152">
        <v>3236</v>
      </c>
      <c r="BD152">
        <v>62</v>
      </c>
      <c r="BE152">
        <v>4</v>
      </c>
      <c r="BF152">
        <v>48</v>
      </c>
      <c r="BG152">
        <v>9</v>
      </c>
      <c r="BH152">
        <v>2800</v>
      </c>
      <c r="BI152">
        <v>3</v>
      </c>
      <c r="BJ152">
        <v>1</v>
      </c>
      <c r="BK152" t="s">
        <v>497</v>
      </c>
      <c r="BL152">
        <f>HYPERLINK(".\links\GO\TI-91-GO.txt",0.0000000000007)</f>
        <v>7.0000000000000005E-13</v>
      </c>
      <c r="BM152" t="s">
        <v>498</v>
      </c>
      <c r="BN152" t="s">
        <v>340</v>
      </c>
      <c r="BO152" t="s">
        <v>499</v>
      </c>
      <c r="BP152" t="s">
        <v>500</v>
      </c>
      <c r="BQ152">
        <v>7.0000000000000005E-13</v>
      </c>
      <c r="BR152" t="s">
        <v>501</v>
      </c>
      <c r="BS152" t="s">
        <v>501</v>
      </c>
      <c r="BT152"/>
      <c r="BU152" t="s">
        <v>502</v>
      </c>
      <c r="BV152">
        <v>7.0000000000000005E-13</v>
      </c>
      <c r="BW152" t="s">
        <v>503</v>
      </c>
      <c r="BX152" t="s">
        <v>340</v>
      </c>
      <c r="BY152" t="s">
        <v>499</v>
      </c>
      <c r="BZ152" t="s">
        <v>504</v>
      </c>
      <c r="CA152">
        <v>7.0000000000000005E-13</v>
      </c>
      <c r="CB152" t="s">
        <v>8</v>
      </c>
      <c r="CC152"/>
      <c r="CD152"/>
      <c r="CE152" t="s">
        <v>8</v>
      </c>
      <c r="CF152"/>
      <c r="CG152"/>
      <c r="CH152" t="s">
        <v>8</v>
      </c>
      <c r="CI152"/>
      <c r="CJ152" t="s">
        <v>8</v>
      </c>
      <c r="CK152"/>
      <c r="CL152" t="s">
        <v>8</v>
      </c>
      <c r="CM152"/>
      <c r="CN152" t="s">
        <v>8</v>
      </c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 t="s">
        <v>8</v>
      </c>
      <c r="DC152"/>
      <c r="DD152"/>
      <c r="DE152"/>
      <c r="DF152"/>
      <c r="DG152"/>
      <c r="DH152"/>
      <c r="DI152"/>
      <c r="DJ152"/>
      <c r="DK152"/>
      <c r="DL152"/>
      <c r="DM152"/>
      <c r="DN152"/>
      <c r="DO152"/>
    </row>
    <row r="153" spans="1:119" s="6" customFormat="1">
      <c r="A153" t="str">
        <f>HYPERLINK(".\links\pep\TI-90-pep.txt","TI-90")</f>
        <v>TI-90</v>
      </c>
      <c r="B153">
        <v>90</v>
      </c>
      <c r="C153" t="s">
        <v>11</v>
      </c>
      <c r="D153">
        <v>226</v>
      </c>
      <c r="E153">
        <v>0</v>
      </c>
      <c r="F153" t="str">
        <f>HYPERLINK(".\links\cds\TI-90-cds.txt","TI-90")</f>
        <v>TI-90</v>
      </c>
      <c r="G153">
        <v>676</v>
      </c>
      <c r="H153"/>
      <c r="I153" t="s">
        <v>8</v>
      </c>
      <c r="J153" t="s">
        <v>8</v>
      </c>
      <c r="K153">
        <v>2</v>
      </c>
      <c r="L153">
        <v>0</v>
      </c>
      <c r="M153">
        <f t="shared" si="3"/>
        <v>2</v>
      </c>
      <c r="N153" t="s">
        <v>1191</v>
      </c>
      <c r="O153" t="s">
        <v>1187</v>
      </c>
      <c r="P153" t="str">
        <f>HYPERLINK(".\links\SWISSP\TI-90-SWISSP.txt","SWISSP")</f>
        <v>SWISSP</v>
      </c>
      <c r="Q153">
        <v>1.9999999999999999E-11</v>
      </c>
      <c r="R153">
        <v>13.1</v>
      </c>
      <c r="S153" t="str">
        <f>HYPERLINK(".\links\NR-LIGHT\TI-90-NR-LIGHT.txt","CG31195")</f>
        <v>CG31195</v>
      </c>
      <c r="T153" t="str">
        <f>HYPERLINK("http://www.ncbi.nlm.nih.gov/sutils/blink.cgi?pid=281362159","1E-098")</f>
        <v>1E-098</v>
      </c>
      <c r="U153" t="str">
        <f>HYPERLINK("http://www.ncbi.nlm.nih.gov/protein/281362159","gi|281362159")</f>
        <v>gi|281362159</v>
      </c>
      <c r="V153">
        <v>361</v>
      </c>
      <c r="W153">
        <v>526</v>
      </c>
      <c r="X153">
        <v>807</v>
      </c>
      <c r="Y153">
        <v>74</v>
      </c>
      <c r="Z153">
        <v>65</v>
      </c>
      <c r="AA153">
        <v>59</v>
      </c>
      <c r="AB153">
        <v>1</v>
      </c>
      <c r="AC153">
        <v>267</v>
      </c>
      <c r="AD153">
        <v>1</v>
      </c>
      <c r="AE153">
        <v>2</v>
      </c>
      <c r="AF153"/>
      <c r="AG153" t="s">
        <v>13</v>
      </c>
      <c r="AH153" t="s">
        <v>51</v>
      </c>
      <c r="AI153" t="s">
        <v>52</v>
      </c>
      <c r="AJ153" t="str">
        <f>HYPERLINK(".\links\SWISSP\TI-90-SWISSP.txt","Probable G-protein coupled receptor 158 OS=Mus musculus GN=Gpr158 PE=1 SV=2")</f>
        <v>Probable G-protein coupled receptor 158 OS=Mus musculus GN=Gpr158 PE=1 SV=2</v>
      </c>
      <c r="AK153" t="str">
        <f>HYPERLINK("http://www.uniprot.org/uniprot/Q8C419","2E-011")</f>
        <v>2E-011</v>
      </c>
      <c r="AL153" t="s">
        <v>135</v>
      </c>
      <c r="AM153">
        <v>68.900000000000006</v>
      </c>
      <c r="AN153">
        <v>140</v>
      </c>
      <c r="AO153">
        <v>1200</v>
      </c>
      <c r="AP153">
        <v>27</v>
      </c>
      <c r="AQ153">
        <v>12</v>
      </c>
      <c r="AR153">
        <v>114</v>
      </c>
      <c r="AS153">
        <v>22</v>
      </c>
      <c r="AT153">
        <v>221</v>
      </c>
      <c r="AU153">
        <v>25</v>
      </c>
      <c r="AV153">
        <v>1</v>
      </c>
      <c r="AW153" t="s">
        <v>87</v>
      </c>
      <c r="AX153" t="str">
        <f>HYPERLINK(".\links\PREV-RHOD-PEP\TI-90-PREV-RHOD-PEP.txt","Contig17898_11")</f>
        <v>Contig17898_11</v>
      </c>
      <c r="AY153" s="3">
        <v>9.9999999999999997E-61</v>
      </c>
      <c r="AZ153" t="s">
        <v>1051</v>
      </c>
      <c r="BA153">
        <v>229</v>
      </c>
      <c r="BB153">
        <v>523</v>
      </c>
      <c r="BC153">
        <v>812</v>
      </c>
      <c r="BD153">
        <v>89</v>
      </c>
      <c r="BE153">
        <v>65</v>
      </c>
      <c r="BF153">
        <v>12</v>
      </c>
      <c r="BG153">
        <v>0</v>
      </c>
      <c r="BH153">
        <v>250</v>
      </c>
      <c r="BI153">
        <v>1</v>
      </c>
      <c r="BJ153">
        <v>2</v>
      </c>
      <c r="BK153" t="s">
        <v>604</v>
      </c>
      <c r="BL153">
        <f>HYPERLINK(".\links\GO\TI-90-GO.txt",0)</f>
        <v>0</v>
      </c>
      <c r="BM153" t="s">
        <v>373</v>
      </c>
      <c r="BN153" t="s">
        <v>373</v>
      </c>
      <c r="BO153"/>
      <c r="BP153" t="s">
        <v>374</v>
      </c>
      <c r="BQ153" s="3">
        <v>1E-100</v>
      </c>
      <c r="BR153" t="s">
        <v>375</v>
      </c>
      <c r="BS153" t="s">
        <v>375</v>
      </c>
      <c r="BT153"/>
      <c r="BU153" t="s">
        <v>376</v>
      </c>
      <c r="BV153" s="3">
        <v>1E-100</v>
      </c>
      <c r="BW153" t="s">
        <v>380</v>
      </c>
      <c r="BX153" t="s">
        <v>373</v>
      </c>
      <c r="BY153"/>
      <c r="BZ153" t="s">
        <v>381</v>
      </c>
      <c r="CA153" s="3">
        <v>1E-100</v>
      </c>
      <c r="CB153" t="s">
        <v>8</v>
      </c>
      <c r="CC153"/>
      <c r="CD153"/>
      <c r="CE153" t="s">
        <v>8</v>
      </c>
      <c r="CF153"/>
      <c r="CG153"/>
      <c r="CH153" t="s">
        <v>8</v>
      </c>
      <c r="CI153"/>
      <c r="CJ153" t="s">
        <v>8</v>
      </c>
      <c r="CK153"/>
      <c r="CL153" t="s">
        <v>8</v>
      </c>
      <c r="CM153"/>
      <c r="CN153" t="s">
        <v>8</v>
      </c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 t="s">
        <v>8</v>
      </c>
      <c r="DC153"/>
      <c r="DD153"/>
      <c r="DE153"/>
      <c r="DF153"/>
      <c r="DG153"/>
      <c r="DH153"/>
      <c r="DI153"/>
      <c r="DJ153"/>
      <c r="DK153"/>
      <c r="DL153"/>
      <c r="DM153"/>
      <c r="DN153"/>
      <c r="DO153"/>
    </row>
    <row r="154" spans="1:119" s="6" customFormat="1">
      <c r="A154" s="6" t="str">
        <f>HYPERLINK(".\links\pep\TI-86-pep.txt","TI-86")</f>
        <v>TI-86</v>
      </c>
      <c r="B154" s="6">
        <v>86</v>
      </c>
      <c r="C154" s="6" t="s">
        <v>7</v>
      </c>
      <c r="D154" s="6">
        <v>163</v>
      </c>
      <c r="E154" s="7">
        <v>4.9079759999999997</v>
      </c>
      <c r="F154" s="6" t="str">
        <f>HYPERLINK(".\links\cds\TI-86-cds.txt","TI-86")</f>
        <v>TI-86</v>
      </c>
      <c r="G154" s="6">
        <v>492</v>
      </c>
      <c r="H154" s="6" t="s">
        <v>24</v>
      </c>
      <c r="I154" s="6" t="s">
        <v>29</v>
      </c>
      <c r="J154" s="6" t="s">
        <v>6</v>
      </c>
      <c r="K154" s="6">
        <v>1</v>
      </c>
      <c r="L154" s="6">
        <v>0</v>
      </c>
      <c r="M154" s="6">
        <f t="shared" si="3"/>
        <v>1</v>
      </c>
      <c r="N154" s="6" t="s">
        <v>1170</v>
      </c>
      <c r="O154" s="6" t="s">
        <v>1171</v>
      </c>
      <c r="S154" s="6" t="str">
        <f>HYPERLINK(".\links\NR-LIGHT\TI-86-NR-LIGHT.txt","jupiter, isoform C")</f>
        <v>jupiter, isoform C</v>
      </c>
      <c r="T154" s="6" t="str">
        <f>HYPERLINK("http://www.ncbi.nlm.nih.gov/sutils/blink.cgi?pid=24645999","3E-004")</f>
        <v>3E-004</v>
      </c>
      <c r="U154" s="6" t="str">
        <f>HYPERLINK("http://www.ncbi.nlm.nih.gov/protein/24645999","gi|24645999")</f>
        <v>gi|24645999</v>
      </c>
      <c r="V154" s="6">
        <v>46.6</v>
      </c>
      <c r="W154" s="6">
        <v>40</v>
      </c>
      <c r="X154" s="6">
        <v>197</v>
      </c>
      <c r="Y154" s="6">
        <v>51</v>
      </c>
      <c r="Z154" s="6">
        <v>21</v>
      </c>
      <c r="AA154" s="6">
        <v>21</v>
      </c>
      <c r="AB154" s="6">
        <v>2</v>
      </c>
      <c r="AC154" s="6">
        <v>18</v>
      </c>
      <c r="AD154" s="6">
        <v>24</v>
      </c>
      <c r="AE154" s="6">
        <v>1</v>
      </c>
      <c r="AG154" s="6" t="s">
        <v>13</v>
      </c>
      <c r="AH154" s="6" t="s">
        <v>51</v>
      </c>
      <c r="AI154" s="6" t="s">
        <v>277</v>
      </c>
      <c r="AJ154" s="6" t="str">
        <f>HYPERLINK(".\links\SWISSP\TI-86-SWISSP.txt","Microtubule-associated protein Jupiter OS=Drosophila melanogaster GN=Jupiter")</f>
        <v>Microtubule-associated protein Jupiter OS=Drosophila melanogaster GN=Jupiter</v>
      </c>
      <c r="AK154" s="6" t="str">
        <f>HYPERLINK("http://www.uniprot.org/uniprot/Q9I7K0","8E-005")</f>
        <v>8E-005</v>
      </c>
      <c r="AL154" s="6" t="s">
        <v>77</v>
      </c>
      <c r="AM154" s="6">
        <v>46.2</v>
      </c>
      <c r="AN154" s="6">
        <v>37</v>
      </c>
      <c r="AO154" s="6">
        <v>208</v>
      </c>
      <c r="AP154" s="6">
        <v>55</v>
      </c>
      <c r="AQ154" s="6">
        <v>18</v>
      </c>
      <c r="AR154" s="6">
        <v>18</v>
      </c>
      <c r="AS154" s="6">
        <v>2</v>
      </c>
      <c r="AT154" s="6">
        <v>21</v>
      </c>
      <c r="AU154" s="6">
        <v>27</v>
      </c>
      <c r="AV154" s="6">
        <v>1</v>
      </c>
      <c r="AW154" s="6" t="s">
        <v>52</v>
      </c>
      <c r="AX154" s="6" t="str">
        <f>HYPERLINK(".\links\PREV-RHOD-PEP\TI-86-PREV-RHOD-PEP.txt","Contig17848_93")</f>
        <v>Contig17848_93</v>
      </c>
      <c r="AY154" s="8">
        <v>5.0000000000000002E-14</v>
      </c>
      <c r="AZ154" s="6" t="s">
        <v>1002</v>
      </c>
      <c r="BA154" s="6">
        <v>73.2</v>
      </c>
      <c r="BB154" s="6">
        <v>170</v>
      </c>
      <c r="BC154" s="6">
        <v>178</v>
      </c>
      <c r="BD154" s="6">
        <v>76</v>
      </c>
      <c r="BE154" s="6">
        <v>96</v>
      </c>
      <c r="BF154" s="6">
        <v>12</v>
      </c>
      <c r="BG154" s="6">
        <v>2</v>
      </c>
      <c r="BH154" s="6">
        <v>8</v>
      </c>
      <c r="BI154" s="6">
        <v>28</v>
      </c>
      <c r="BJ154" s="6">
        <v>2</v>
      </c>
      <c r="BK154" s="6" t="s">
        <v>411</v>
      </c>
      <c r="BL154" s="6">
        <f>HYPERLINK(".\links\GO\TI-86-GO.txt",0.002)</f>
        <v>2E-3</v>
      </c>
      <c r="BM154" s="6" t="s">
        <v>373</v>
      </c>
      <c r="BN154" s="6" t="s">
        <v>373</v>
      </c>
      <c r="BP154" s="6" t="s">
        <v>374</v>
      </c>
      <c r="BQ154" s="6">
        <v>2E-3</v>
      </c>
      <c r="BR154" s="6" t="s">
        <v>375</v>
      </c>
      <c r="BS154" s="6" t="s">
        <v>375</v>
      </c>
      <c r="BU154" s="6" t="s">
        <v>376</v>
      </c>
      <c r="BV154" s="6">
        <v>2E-3</v>
      </c>
      <c r="BW154" s="6" t="s">
        <v>380</v>
      </c>
      <c r="BX154" s="6" t="s">
        <v>373</v>
      </c>
      <c r="BZ154" s="6" t="s">
        <v>381</v>
      </c>
      <c r="CA154" s="6">
        <v>2E-3</v>
      </c>
      <c r="CB154" s="6" t="s">
        <v>8</v>
      </c>
      <c r="CE154" s="6" t="s">
        <v>8</v>
      </c>
      <c r="CH154" s="6" t="s">
        <v>8</v>
      </c>
      <c r="CJ154" s="6" t="s">
        <v>8</v>
      </c>
      <c r="CL154" s="6" t="s">
        <v>8</v>
      </c>
      <c r="CN154" s="6" t="s">
        <v>8</v>
      </c>
      <c r="DB154" s="6" t="s">
        <v>8</v>
      </c>
    </row>
    <row r="155" spans="1:119" s="6" customFormat="1">
      <c r="A155" t="str">
        <f>HYPERLINK(".\links\pep\TI-85-pep.txt","TI-85")</f>
        <v>TI-85</v>
      </c>
      <c r="B155">
        <v>85</v>
      </c>
      <c r="C155" t="s">
        <v>11</v>
      </c>
      <c r="D155">
        <v>49</v>
      </c>
      <c r="E155">
        <v>0</v>
      </c>
      <c r="F155" t="str">
        <f>HYPERLINK(".\links\cds\TI-85-cds.txt","TI-85")</f>
        <v>TI-85</v>
      </c>
      <c r="G155">
        <v>150</v>
      </c>
      <c r="H155"/>
      <c r="I155" t="s">
        <v>8</v>
      </c>
      <c r="J155" t="s">
        <v>6</v>
      </c>
      <c r="K155">
        <v>1</v>
      </c>
      <c r="L155">
        <v>0</v>
      </c>
      <c r="M155">
        <f t="shared" si="3"/>
        <v>1</v>
      </c>
      <c r="N155" t="s">
        <v>1269</v>
      </c>
      <c r="O155" t="s">
        <v>1190</v>
      </c>
      <c r="P155" t="str">
        <f>HYPERLINK(".\links\NR-LIGHT\TI-85-NR-LIGHT.txt","NR-LIGHT")</f>
        <v>NR-LIGHT</v>
      </c>
      <c r="Q155">
        <v>2.9999999999999999E-7</v>
      </c>
      <c r="R155">
        <v>4.0999999999999996</v>
      </c>
      <c r="S155" t="str">
        <f>HYPERLINK(".\links\NR-LIGHT\TI-85-NR-LIGHT.txt","hypothetical protein TcasGA2_TC005990")</f>
        <v>hypothetical protein TcasGA2_TC005990</v>
      </c>
      <c r="T155" t="str">
        <f>HYPERLINK("http://www.ncbi.nlm.nih.gov/sutils/blink.cgi?pid=270011899","3E-007")</f>
        <v>3E-007</v>
      </c>
      <c r="U155" t="str">
        <f>HYPERLINK("http://www.ncbi.nlm.nih.gov/protein/270011899","gi|270011899")</f>
        <v>gi|270011899</v>
      </c>
      <c r="V155">
        <v>56.2</v>
      </c>
      <c r="W155">
        <v>47</v>
      </c>
      <c r="X155">
        <v>230</v>
      </c>
      <c r="Y155">
        <v>56</v>
      </c>
      <c r="Z155">
        <v>21</v>
      </c>
      <c r="AA155">
        <v>21</v>
      </c>
      <c r="AB155">
        <v>0</v>
      </c>
      <c r="AC155">
        <v>180</v>
      </c>
      <c r="AD155">
        <v>1</v>
      </c>
      <c r="AE155">
        <v>1</v>
      </c>
      <c r="AF155"/>
      <c r="AG155" t="s">
        <v>13</v>
      </c>
      <c r="AH155" t="s">
        <v>51</v>
      </c>
      <c r="AI155" t="s">
        <v>266</v>
      </c>
      <c r="AJ155" t="s">
        <v>8</v>
      </c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 t="str">
        <f>HYPERLINK(".\links\PREV-RHOD-PEP\TI-85-PREV-RHOD-PEP.txt","Contig17909_35")</f>
        <v>Contig17909_35</v>
      </c>
      <c r="AY155" s="3">
        <v>1.9999999999999999E-11</v>
      </c>
      <c r="AZ155" t="s">
        <v>1050</v>
      </c>
      <c r="BA155">
        <v>63.9</v>
      </c>
      <c r="BB155">
        <v>34</v>
      </c>
      <c r="BC155">
        <v>679</v>
      </c>
      <c r="BD155">
        <v>82</v>
      </c>
      <c r="BE155">
        <v>5</v>
      </c>
      <c r="BF155">
        <v>6</v>
      </c>
      <c r="BG155">
        <v>0</v>
      </c>
      <c r="BH155">
        <v>608</v>
      </c>
      <c r="BI155">
        <v>1</v>
      </c>
      <c r="BJ155">
        <v>1</v>
      </c>
      <c r="BK155" t="s">
        <v>601</v>
      </c>
      <c r="BL155">
        <f>HYPERLINK(".\links\GO\TI-85-GO.txt",0.000002)</f>
        <v>1.9999999999999999E-6</v>
      </c>
      <c r="BM155" t="s">
        <v>8</v>
      </c>
      <c r="BN155" t="s">
        <v>8</v>
      </c>
      <c r="BO155" t="s">
        <v>8</v>
      </c>
      <c r="BP155" t="s">
        <v>8</v>
      </c>
      <c r="BQ155" t="s">
        <v>8</v>
      </c>
      <c r="BR155" t="s">
        <v>602</v>
      </c>
      <c r="BS155" t="s">
        <v>323</v>
      </c>
      <c r="BT155" t="s">
        <v>334</v>
      </c>
      <c r="BU155" t="s">
        <v>603</v>
      </c>
      <c r="BV155">
        <v>1.9999999999999999E-6</v>
      </c>
      <c r="BW155" t="s">
        <v>8</v>
      </c>
      <c r="BX155" t="s">
        <v>8</v>
      </c>
      <c r="BY155" t="s">
        <v>8</v>
      </c>
      <c r="BZ155" t="s">
        <v>8</v>
      </c>
      <c r="CA155" t="s">
        <v>8</v>
      </c>
      <c r="CB155" t="s">
        <v>8</v>
      </c>
      <c r="CC155"/>
      <c r="CD155"/>
      <c r="CE155" t="s">
        <v>8</v>
      </c>
      <c r="CF155"/>
      <c r="CG155"/>
      <c r="CH155" t="s">
        <v>8</v>
      </c>
      <c r="CI155"/>
      <c r="CJ155" t="s">
        <v>8</v>
      </c>
      <c r="CK155"/>
      <c r="CL155" t="s">
        <v>8</v>
      </c>
      <c r="CM155"/>
      <c r="CN155" t="s">
        <v>8</v>
      </c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 t="s">
        <v>8</v>
      </c>
      <c r="DC155"/>
      <c r="DD155"/>
      <c r="DE155"/>
      <c r="DF155"/>
      <c r="DG155"/>
      <c r="DH155"/>
      <c r="DI155"/>
      <c r="DJ155"/>
      <c r="DK155"/>
      <c r="DL155"/>
      <c r="DM155"/>
      <c r="DN155"/>
      <c r="DO155"/>
    </row>
    <row r="156" spans="1:119" s="6" customFormat="1">
      <c r="A156" s="6" t="str">
        <f>HYPERLINK(".\links\pep\TI-83-pep.txt","TI-83")</f>
        <v>TI-83</v>
      </c>
      <c r="B156" s="6">
        <v>83</v>
      </c>
      <c r="C156" s="6" t="s">
        <v>10</v>
      </c>
      <c r="D156" s="6">
        <v>31</v>
      </c>
      <c r="E156" s="6">
        <v>0</v>
      </c>
      <c r="F156" s="6" t="str">
        <f>HYPERLINK(".\links\cds\TI-83-cds.txt","TI-83")</f>
        <v>TI-83</v>
      </c>
      <c r="G156" s="6">
        <v>96</v>
      </c>
      <c r="I156" s="6" t="s">
        <v>8</v>
      </c>
      <c r="J156" s="6" t="s">
        <v>6</v>
      </c>
      <c r="K156" s="6">
        <v>1</v>
      </c>
      <c r="L156" s="6">
        <v>0</v>
      </c>
      <c r="M156" s="6">
        <f t="shared" si="3"/>
        <v>1</v>
      </c>
      <c r="N156" s="6" t="s">
        <v>1170</v>
      </c>
      <c r="O156" s="6" t="s">
        <v>1171</v>
      </c>
      <c r="S156" s="6" t="s">
        <v>8</v>
      </c>
      <c r="AJ156" s="6" t="s">
        <v>8</v>
      </c>
      <c r="AX156" s="6" t="s">
        <v>8</v>
      </c>
      <c r="BK156" s="6" t="s">
        <v>8</v>
      </c>
      <c r="CB156" s="6" t="s">
        <v>8</v>
      </c>
      <c r="CE156" s="6" t="s">
        <v>8</v>
      </c>
      <c r="CH156" s="6" t="s">
        <v>8</v>
      </c>
      <c r="CJ156" s="6" t="s">
        <v>8</v>
      </c>
      <c r="CL156" s="6" t="s">
        <v>8</v>
      </c>
      <c r="CN156" s="6" t="s">
        <v>8</v>
      </c>
      <c r="DB156" s="6" t="s">
        <v>8</v>
      </c>
    </row>
    <row r="157" spans="1:119" s="6" customFormat="1">
      <c r="A157" s="6" t="str">
        <f>HYPERLINK(".\links\pep\TI-80-pep.txt","TI-80")</f>
        <v>TI-80</v>
      </c>
      <c r="B157" s="6">
        <v>80</v>
      </c>
      <c r="C157" s="6" t="s">
        <v>16</v>
      </c>
      <c r="D157" s="6">
        <v>92</v>
      </c>
      <c r="E157" s="6">
        <v>0</v>
      </c>
      <c r="F157" s="6" t="str">
        <f>HYPERLINK(".\links\cds\TI-80-cds.txt","TI-80")</f>
        <v>TI-80</v>
      </c>
      <c r="G157" s="6">
        <v>278</v>
      </c>
      <c r="I157" s="6" t="s">
        <v>8</v>
      </c>
      <c r="J157" s="6" t="s">
        <v>6</v>
      </c>
      <c r="K157" s="6">
        <v>1</v>
      </c>
      <c r="L157" s="6">
        <v>0</v>
      </c>
      <c r="M157" s="6">
        <f t="shared" si="3"/>
        <v>1</v>
      </c>
      <c r="N157" s="6" t="s">
        <v>1170</v>
      </c>
      <c r="O157" s="6" t="s">
        <v>1171</v>
      </c>
      <c r="S157" s="6" t="str">
        <f>HYPERLINK(".\links\NR-LIGHT\TI-80-NR-LIGHT.txt","hypothetical protein")</f>
        <v>hypothetical protein</v>
      </c>
      <c r="T157" s="6" t="str">
        <f>HYPERLINK("http://www.ncbi.nlm.nih.gov/sutils/blink.cgi?pid=256079598","5.2")</f>
        <v>5.2</v>
      </c>
      <c r="U157" s="6" t="str">
        <f>HYPERLINK("http://www.ncbi.nlm.nih.gov/protein/256079598","gi|256079598")</f>
        <v>gi|256079598</v>
      </c>
      <c r="V157" s="6">
        <v>32</v>
      </c>
      <c r="W157" s="6">
        <v>34</v>
      </c>
      <c r="X157" s="6">
        <v>741</v>
      </c>
      <c r="Y157" s="6">
        <v>45</v>
      </c>
      <c r="Z157" s="6">
        <v>5</v>
      </c>
      <c r="AA157" s="6">
        <v>19</v>
      </c>
      <c r="AB157" s="6">
        <v>0</v>
      </c>
      <c r="AC157" s="6">
        <v>489</v>
      </c>
      <c r="AD157" s="6">
        <v>54</v>
      </c>
      <c r="AE157" s="6">
        <v>1</v>
      </c>
      <c r="AG157" s="6" t="s">
        <v>13</v>
      </c>
      <c r="AH157" s="6" t="s">
        <v>51</v>
      </c>
      <c r="AI157" s="6" t="s">
        <v>265</v>
      </c>
      <c r="AJ157" s="6" t="s">
        <v>8</v>
      </c>
      <c r="AX157" s="6" t="s">
        <v>8</v>
      </c>
      <c r="BK157" s="6" t="s">
        <v>8</v>
      </c>
      <c r="CB157" s="6" t="s">
        <v>8</v>
      </c>
      <c r="CE157" s="6" t="s">
        <v>8</v>
      </c>
      <c r="CH157" s="6" t="s">
        <v>8</v>
      </c>
      <c r="CJ157" s="6" t="s">
        <v>8</v>
      </c>
      <c r="CL157" s="6" t="s">
        <v>8</v>
      </c>
      <c r="CN157" s="6" t="s">
        <v>8</v>
      </c>
      <c r="DB157" s="6" t="s">
        <v>8</v>
      </c>
    </row>
    <row r="158" spans="1:119" s="6" customFormat="1">
      <c r="A158" t="str">
        <f>HYPERLINK(".\links\pep\TI-76-pep.txt","TI-76")</f>
        <v>TI-76</v>
      </c>
      <c r="B158">
        <v>76</v>
      </c>
      <c r="C158" t="s">
        <v>22</v>
      </c>
      <c r="D158">
        <v>198</v>
      </c>
      <c r="E158">
        <v>0</v>
      </c>
      <c r="F158" t="str">
        <f>HYPERLINK(".\links\cds\TI-76-cds.txt","TI-76")</f>
        <v>TI-76</v>
      </c>
      <c r="G158">
        <v>595</v>
      </c>
      <c r="H158"/>
      <c r="I158" t="s">
        <v>8</v>
      </c>
      <c r="J158" t="s">
        <v>6</v>
      </c>
      <c r="K158">
        <v>1</v>
      </c>
      <c r="L158">
        <v>0</v>
      </c>
      <c r="M158">
        <f t="shared" si="3"/>
        <v>1</v>
      </c>
      <c r="N158" t="s">
        <v>1266</v>
      </c>
      <c r="O158" t="s">
        <v>1178</v>
      </c>
      <c r="P158" t="str">
        <f>HYPERLINK(".\links\NR-LIGHT\TI-76-NR-LIGHT.txt","NR-LIGHT")</f>
        <v>NR-LIGHT</v>
      </c>
      <c r="Q158" s="3">
        <v>1.0000000000000001E-86</v>
      </c>
      <c r="R158">
        <v>47.4</v>
      </c>
      <c r="S158" t="str">
        <f>HYPERLINK(".\links\NR-LIGHT\TI-76-NR-LIGHT.txt","inositol-trisphosphate 3-kinase A-like")</f>
        <v>inositol-trisphosphate 3-kinase A-like</v>
      </c>
      <c r="T158" t="str">
        <f>HYPERLINK("http://www.ncbi.nlm.nih.gov/sutils/blink.cgi?pid=328708818","1E-086")</f>
        <v>1E-086</v>
      </c>
      <c r="U158" t="str">
        <f>HYPERLINK("http://www.ncbi.nlm.nih.gov/protein/328708818","gi|328708818")</f>
        <v>gi|328708818</v>
      </c>
      <c r="V158">
        <v>320</v>
      </c>
      <c r="W158">
        <v>197</v>
      </c>
      <c r="X158">
        <v>417</v>
      </c>
      <c r="Y158">
        <v>73</v>
      </c>
      <c r="Z158">
        <v>47</v>
      </c>
      <c r="AA158">
        <v>53</v>
      </c>
      <c r="AB158">
        <v>0</v>
      </c>
      <c r="AC158">
        <v>157</v>
      </c>
      <c r="AD158">
        <v>1</v>
      </c>
      <c r="AE158">
        <v>1</v>
      </c>
      <c r="AF158"/>
      <c r="AG158" t="s">
        <v>13</v>
      </c>
      <c r="AH158" t="s">
        <v>51</v>
      </c>
      <c r="AI158" t="s">
        <v>264</v>
      </c>
      <c r="AJ158" t="str">
        <f>HYPERLINK(".\links\SWISSP\TI-76-SWISSP.txt","Inositol-trisphosphate 3-kinase C OS=Mus musculus GN=Itpkc PE=2 SV=1")</f>
        <v>Inositol-trisphosphate 3-kinase C OS=Mus musculus GN=Itpkc PE=2 SV=1</v>
      </c>
      <c r="AK158" t="str">
        <f>HYPERLINK("http://www.uniprot.org/uniprot/Q7TS72","8E-038")</f>
        <v>8E-038</v>
      </c>
      <c r="AL158" t="s">
        <v>133</v>
      </c>
      <c r="AM158">
        <v>156</v>
      </c>
      <c r="AN158">
        <v>199</v>
      </c>
      <c r="AO158">
        <v>678</v>
      </c>
      <c r="AP158">
        <v>42</v>
      </c>
      <c r="AQ158">
        <v>29</v>
      </c>
      <c r="AR158">
        <v>116</v>
      </c>
      <c r="AS158">
        <v>6</v>
      </c>
      <c r="AT158">
        <v>432</v>
      </c>
      <c r="AU158">
        <v>3</v>
      </c>
      <c r="AV158">
        <v>1</v>
      </c>
      <c r="AW158" t="s">
        <v>87</v>
      </c>
      <c r="AX158" t="str">
        <f>HYPERLINK(".\links\PREV-RHOD-PEP\TI-76-PREV-RHOD-PEP.txt","Contig15999_2")</f>
        <v>Contig15999_2</v>
      </c>
      <c r="AY158" s="3">
        <v>1E-108</v>
      </c>
      <c r="AZ158" t="s">
        <v>1047</v>
      </c>
      <c r="BA158">
        <v>386</v>
      </c>
      <c r="BB158">
        <v>197</v>
      </c>
      <c r="BC158">
        <v>393</v>
      </c>
      <c r="BD158">
        <v>93</v>
      </c>
      <c r="BE158">
        <v>50</v>
      </c>
      <c r="BF158">
        <v>13</v>
      </c>
      <c r="BG158">
        <v>0</v>
      </c>
      <c r="BH158">
        <v>133</v>
      </c>
      <c r="BI158">
        <v>1</v>
      </c>
      <c r="BJ158">
        <v>1</v>
      </c>
      <c r="BK158" t="s">
        <v>594</v>
      </c>
      <c r="BL158">
        <f>HYPERLINK(".\links\GO\TI-76-GO.txt",2E-57)</f>
        <v>1.9999999999999999E-57</v>
      </c>
      <c r="BM158" t="s">
        <v>595</v>
      </c>
      <c r="BN158" t="s">
        <v>345</v>
      </c>
      <c r="BO158" t="s">
        <v>346</v>
      </c>
      <c r="BP158" t="s">
        <v>596</v>
      </c>
      <c r="BQ158" s="3">
        <v>8.0000000000000005E-37</v>
      </c>
      <c r="BR158" t="s">
        <v>375</v>
      </c>
      <c r="BS158" t="s">
        <v>375</v>
      </c>
      <c r="BT158"/>
      <c r="BU158" t="s">
        <v>376</v>
      </c>
      <c r="BV158" s="3">
        <v>8.0000000000000005E-37</v>
      </c>
      <c r="BW158" t="s">
        <v>597</v>
      </c>
      <c r="BX158" t="s">
        <v>345</v>
      </c>
      <c r="BY158" t="s">
        <v>346</v>
      </c>
      <c r="BZ158" t="s">
        <v>598</v>
      </c>
      <c r="CA158" s="3">
        <v>8.0000000000000005E-37</v>
      </c>
      <c r="CB158" t="s">
        <v>8</v>
      </c>
      <c r="CC158"/>
      <c r="CD158"/>
      <c r="CE158" t="s">
        <v>8</v>
      </c>
      <c r="CF158"/>
      <c r="CG158"/>
      <c r="CH158" t="s">
        <v>8</v>
      </c>
      <c r="CI158"/>
      <c r="CJ158" t="s">
        <v>8</v>
      </c>
      <c r="CK158"/>
      <c r="CL158" t="s">
        <v>8</v>
      </c>
      <c r="CM158"/>
      <c r="CN158" t="s">
        <v>8</v>
      </c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 t="s">
        <v>8</v>
      </c>
      <c r="DC158"/>
      <c r="DD158"/>
      <c r="DE158"/>
      <c r="DF158"/>
      <c r="DG158"/>
      <c r="DH158"/>
      <c r="DI158"/>
      <c r="DJ158"/>
      <c r="DK158"/>
      <c r="DL158"/>
      <c r="DM158"/>
      <c r="DN158"/>
      <c r="DO158"/>
    </row>
    <row r="159" spans="1:119" s="6" customFormat="1">
      <c r="A159" t="str">
        <f>HYPERLINK(".\links\pep\TI-75-pep.txt","TI-75")</f>
        <v>TI-75</v>
      </c>
      <c r="B159">
        <v>75</v>
      </c>
      <c r="C159" t="s">
        <v>7</v>
      </c>
      <c r="D159">
        <v>117</v>
      </c>
      <c r="E159">
        <v>0</v>
      </c>
      <c r="F159" t="str">
        <f>HYPERLINK(".\links\cds\TI-75-cds.txt","TI-75")</f>
        <v>TI-75</v>
      </c>
      <c r="G159">
        <v>354</v>
      </c>
      <c r="H159"/>
      <c r="I159" t="s">
        <v>29</v>
      </c>
      <c r="J159" t="s">
        <v>6</v>
      </c>
      <c r="K159">
        <v>1</v>
      </c>
      <c r="L159">
        <v>0</v>
      </c>
      <c r="M159">
        <f t="shared" si="3"/>
        <v>1</v>
      </c>
      <c r="N159" t="s">
        <v>1265</v>
      </c>
      <c r="O159" t="s">
        <v>1190</v>
      </c>
      <c r="P159" t="str">
        <f>HYPERLINK(".\links\GO\TI-75-GO.txt","GO")</f>
        <v>GO</v>
      </c>
      <c r="Q159" s="3">
        <v>1.9999999999999999E-20</v>
      </c>
      <c r="R159">
        <v>65.599999999999994</v>
      </c>
      <c r="S159" t="str">
        <f>HYPERLINK(".\links\NR-LIGHT\TI-75-NR-LIGHT.txt","hypothetical protein DAPPUDRAFT_218600")</f>
        <v>hypothetical protein DAPPUDRAFT_218600</v>
      </c>
      <c r="T159" t="str">
        <f>HYPERLINK("http://www.ncbi.nlm.nih.gov/sutils/blink.cgi?pid=321456621","3E-021")</f>
        <v>3E-021</v>
      </c>
      <c r="U159" t="str">
        <f>HYPERLINK("http://www.ncbi.nlm.nih.gov/protein/321456621","gi|321456621")</f>
        <v>gi|321456621</v>
      </c>
      <c r="V159">
        <v>102</v>
      </c>
      <c r="W159">
        <v>66</v>
      </c>
      <c r="X159">
        <v>132</v>
      </c>
      <c r="Y159">
        <v>71</v>
      </c>
      <c r="Z159">
        <v>51</v>
      </c>
      <c r="AA159">
        <v>19</v>
      </c>
      <c r="AB159">
        <v>0</v>
      </c>
      <c r="AC159">
        <v>29</v>
      </c>
      <c r="AD159">
        <v>15</v>
      </c>
      <c r="AE159">
        <v>1</v>
      </c>
      <c r="AF159"/>
      <c r="AG159" t="s">
        <v>13</v>
      </c>
      <c r="AH159" t="s">
        <v>51</v>
      </c>
      <c r="AI159" t="s">
        <v>270</v>
      </c>
      <c r="AJ159" t="str">
        <f>HYPERLINK(".\links\SWISSP\TI-75-SWISSP.txt","Synaptobrevin-1 OS=Caenorhabditis briggsae GN=snb-1 PE=3 SV=1")</f>
        <v>Synaptobrevin-1 OS=Caenorhabditis briggsae GN=snb-1 PE=3 SV=1</v>
      </c>
      <c r="AK159" t="str">
        <f>HYPERLINK("http://www.uniprot.org/uniprot/Q60WU2","4E-019")</f>
        <v>4E-019</v>
      </c>
      <c r="AL159" t="s">
        <v>131</v>
      </c>
      <c r="AM159">
        <v>93.2</v>
      </c>
      <c r="AN159">
        <v>64</v>
      </c>
      <c r="AO159">
        <v>108</v>
      </c>
      <c r="AP159">
        <v>67</v>
      </c>
      <c r="AQ159">
        <v>60</v>
      </c>
      <c r="AR159">
        <v>21</v>
      </c>
      <c r="AS159">
        <v>0</v>
      </c>
      <c r="AT159">
        <v>21</v>
      </c>
      <c r="AU159">
        <v>17</v>
      </c>
      <c r="AV159">
        <v>1</v>
      </c>
      <c r="AW159" t="s">
        <v>132</v>
      </c>
      <c r="AX159" t="str">
        <f>HYPERLINK(".\links\PREV-RHOD-PEP\TI-75-PREV-RHOD-PEP.txt","Contig17909_61")</f>
        <v>Contig17909_61</v>
      </c>
      <c r="AY159" s="3">
        <v>6E-34</v>
      </c>
      <c r="AZ159" t="s">
        <v>1046</v>
      </c>
      <c r="BA159">
        <v>138</v>
      </c>
      <c r="BB159">
        <v>69</v>
      </c>
      <c r="BC159">
        <v>117</v>
      </c>
      <c r="BD159">
        <v>94</v>
      </c>
      <c r="BE159">
        <v>60</v>
      </c>
      <c r="BF159">
        <v>4</v>
      </c>
      <c r="BG159">
        <v>0</v>
      </c>
      <c r="BH159">
        <v>14</v>
      </c>
      <c r="BI159">
        <v>14</v>
      </c>
      <c r="BJ159">
        <v>1</v>
      </c>
      <c r="BK159" t="s">
        <v>589</v>
      </c>
      <c r="BL159">
        <f>HYPERLINK(".\links\GO\TI-75-GO.txt",2E-20)</f>
        <v>1.9999999999999999E-20</v>
      </c>
      <c r="BM159" t="s">
        <v>590</v>
      </c>
      <c r="BN159" t="s">
        <v>340</v>
      </c>
      <c r="BO159" t="s">
        <v>341</v>
      </c>
      <c r="BP159" t="s">
        <v>591</v>
      </c>
      <c r="BQ159" s="3">
        <v>5.0000000000000004E-19</v>
      </c>
      <c r="BR159" t="s">
        <v>438</v>
      </c>
      <c r="BS159" t="s">
        <v>323</v>
      </c>
      <c r="BT159" t="s">
        <v>324</v>
      </c>
      <c r="BU159" t="s">
        <v>439</v>
      </c>
      <c r="BV159" s="3">
        <v>5.0000000000000004E-19</v>
      </c>
      <c r="BW159" t="s">
        <v>592</v>
      </c>
      <c r="BX159" t="s">
        <v>340</v>
      </c>
      <c r="BY159" t="s">
        <v>341</v>
      </c>
      <c r="BZ159" t="s">
        <v>593</v>
      </c>
      <c r="CA159" s="3">
        <v>5.0000000000000004E-19</v>
      </c>
      <c r="CB159" t="s">
        <v>8</v>
      </c>
      <c r="CC159"/>
      <c r="CD159"/>
      <c r="CE159" t="s">
        <v>8</v>
      </c>
      <c r="CF159"/>
      <c r="CG159"/>
      <c r="CH159" t="s">
        <v>8</v>
      </c>
      <c r="CI159"/>
      <c r="CJ159" t="s">
        <v>8</v>
      </c>
      <c r="CK159"/>
      <c r="CL159" t="s">
        <v>8</v>
      </c>
      <c r="CM159"/>
      <c r="CN159" t="s">
        <v>8</v>
      </c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 t="s">
        <v>8</v>
      </c>
      <c r="DC159"/>
      <c r="DD159"/>
      <c r="DE159"/>
      <c r="DF159"/>
      <c r="DG159"/>
      <c r="DH159"/>
      <c r="DI159"/>
      <c r="DJ159"/>
      <c r="DK159"/>
      <c r="DL159"/>
      <c r="DM159"/>
      <c r="DN159"/>
      <c r="DO159"/>
    </row>
    <row r="160" spans="1:119" s="6" customFormat="1">
      <c r="A160" t="str">
        <f>HYPERLINK(".\links\pep\TI-71-pep.txt","TI-71")</f>
        <v>TI-71</v>
      </c>
      <c r="B160">
        <v>71</v>
      </c>
      <c r="C160" t="s">
        <v>7</v>
      </c>
      <c r="D160">
        <v>129</v>
      </c>
      <c r="E160">
        <v>0</v>
      </c>
      <c r="F160" t="str">
        <f>HYPERLINK(".\links\cds\TI-71-cds.txt","TI-71")</f>
        <v>TI-71</v>
      </c>
      <c r="G160">
        <v>390</v>
      </c>
      <c r="H160"/>
      <c r="I160" t="s">
        <v>29</v>
      </c>
      <c r="J160" t="s">
        <v>6</v>
      </c>
      <c r="K160">
        <v>1</v>
      </c>
      <c r="L160">
        <v>0</v>
      </c>
      <c r="M160">
        <f t="shared" si="3"/>
        <v>1</v>
      </c>
      <c r="N160" t="s">
        <v>1264</v>
      </c>
      <c r="O160" t="s">
        <v>1188</v>
      </c>
      <c r="P160" t="str">
        <f>HYPERLINK(".\links\NR-LIGHT\TI-71-NR-LIGHT.txt","NR-LIGHT")</f>
        <v>NR-LIGHT</v>
      </c>
      <c r="Q160" s="3">
        <v>1.0000000000000001E-18</v>
      </c>
      <c r="R160">
        <v>20</v>
      </c>
      <c r="S160" t="str">
        <f>HYPERLINK(".\links\NR-LIGHT\TI-71-NR-LIGHT.txt","cytochrome P450 Cyp6b29")</f>
        <v>cytochrome P450 Cyp6b29</v>
      </c>
      <c r="T160" t="str">
        <f>HYPERLINK("http://www.ncbi.nlm.nih.gov/sutils/blink.cgi?pid=163838686","1E-018")</f>
        <v>1E-018</v>
      </c>
      <c r="U160" t="str">
        <f>HYPERLINK("http://www.ncbi.nlm.nih.gov/protein/163838686","gi|163838686")</f>
        <v>gi|163838686</v>
      </c>
      <c r="V160">
        <v>94</v>
      </c>
      <c r="W160">
        <v>99</v>
      </c>
      <c r="X160">
        <v>505</v>
      </c>
      <c r="Y160">
        <v>44</v>
      </c>
      <c r="Z160">
        <v>20</v>
      </c>
      <c r="AA160">
        <v>56</v>
      </c>
      <c r="AB160">
        <v>1</v>
      </c>
      <c r="AC160">
        <v>25</v>
      </c>
      <c r="AD160">
        <v>29</v>
      </c>
      <c r="AE160">
        <v>1</v>
      </c>
      <c r="AF160"/>
      <c r="AG160" t="s">
        <v>13</v>
      </c>
      <c r="AH160" t="s">
        <v>51</v>
      </c>
      <c r="AI160" t="s">
        <v>54</v>
      </c>
      <c r="AJ160" t="str">
        <f>HYPERLINK(".\links\SWISSP\TI-71-SWISSP.txt","Cytochrome P450 6B1 OS=Papilio polyxenes GN=CYP6B1 PE=1 SV=1")</f>
        <v>Cytochrome P450 6B1 OS=Papilio polyxenes GN=CYP6B1 PE=1 SV=1</v>
      </c>
      <c r="AK160" t="str">
        <f>HYPERLINK("http://www.uniprot.org/uniprot/Q04552","2E-014")</f>
        <v>2E-014</v>
      </c>
      <c r="AL160" t="s">
        <v>129</v>
      </c>
      <c r="AM160">
        <v>77.8</v>
      </c>
      <c r="AN160">
        <v>80</v>
      </c>
      <c r="AO160">
        <v>498</v>
      </c>
      <c r="AP160">
        <v>43</v>
      </c>
      <c r="AQ160">
        <v>16</v>
      </c>
      <c r="AR160">
        <v>46</v>
      </c>
      <c r="AS160">
        <v>0</v>
      </c>
      <c r="AT160">
        <v>22</v>
      </c>
      <c r="AU160">
        <v>28</v>
      </c>
      <c r="AV160">
        <v>1</v>
      </c>
      <c r="AW160" t="s">
        <v>130</v>
      </c>
      <c r="AX160" t="str">
        <f>HYPERLINK(".\links\PREV-RHOD-PEP\TI-71-PREV-RHOD-PEP.txt","Contig17683_7")</f>
        <v>Contig17683_7</v>
      </c>
      <c r="AY160" s="3">
        <v>5.0000000000000002E-43</v>
      </c>
      <c r="AZ160" t="s">
        <v>1044</v>
      </c>
      <c r="BA160">
        <v>169</v>
      </c>
      <c r="BB160">
        <v>128</v>
      </c>
      <c r="BC160">
        <v>555</v>
      </c>
      <c r="BD160">
        <v>62</v>
      </c>
      <c r="BE160">
        <v>23</v>
      </c>
      <c r="BF160">
        <v>49</v>
      </c>
      <c r="BG160">
        <v>0</v>
      </c>
      <c r="BH160">
        <v>42</v>
      </c>
      <c r="BI160">
        <v>1</v>
      </c>
      <c r="BJ160">
        <v>1</v>
      </c>
      <c r="BK160" t="s">
        <v>580</v>
      </c>
      <c r="BL160">
        <f>HYPERLINK(".\links\GO\TI-71-GO.txt",0.00000000006)</f>
        <v>6E-11</v>
      </c>
      <c r="BM160" t="s">
        <v>581</v>
      </c>
      <c r="BN160" t="s">
        <v>581</v>
      </c>
      <c r="BO160"/>
      <c r="BP160" t="s">
        <v>582</v>
      </c>
      <c r="BQ160">
        <v>4.9999999999999998E-7</v>
      </c>
      <c r="BR160" t="s">
        <v>452</v>
      </c>
      <c r="BS160" t="s">
        <v>323</v>
      </c>
      <c r="BT160" t="s">
        <v>390</v>
      </c>
      <c r="BU160" t="s">
        <v>453</v>
      </c>
      <c r="BV160">
        <v>4.9999999999999998E-7</v>
      </c>
      <c r="BW160" t="s">
        <v>583</v>
      </c>
      <c r="BX160" t="s">
        <v>581</v>
      </c>
      <c r="BY160"/>
      <c r="BZ160" t="s">
        <v>584</v>
      </c>
      <c r="CA160">
        <v>4.9999999999999998E-7</v>
      </c>
      <c r="CB160" t="s">
        <v>8</v>
      </c>
      <c r="CC160"/>
      <c r="CD160"/>
      <c r="CE160" t="s">
        <v>8</v>
      </c>
      <c r="CF160"/>
      <c r="CG160"/>
      <c r="CH160" t="s">
        <v>8</v>
      </c>
      <c r="CI160"/>
      <c r="CJ160" t="s">
        <v>8</v>
      </c>
      <c r="CK160"/>
      <c r="CL160" t="s">
        <v>8</v>
      </c>
      <c r="CM160"/>
      <c r="CN160" t="s">
        <v>8</v>
      </c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 t="s">
        <v>8</v>
      </c>
      <c r="DC160"/>
      <c r="DD160"/>
      <c r="DE160"/>
      <c r="DF160"/>
      <c r="DG160"/>
      <c r="DH160"/>
      <c r="DI160"/>
      <c r="DJ160"/>
      <c r="DK160"/>
      <c r="DL160"/>
      <c r="DM160"/>
      <c r="DN160"/>
      <c r="DO160"/>
    </row>
    <row r="161" spans="1:119" s="6" customFormat="1">
      <c r="A161" s="6" t="str">
        <f>HYPERLINK(".\links\pep\TI-67-pep.txt","TI-67")</f>
        <v>TI-67</v>
      </c>
      <c r="B161" s="6">
        <v>67</v>
      </c>
      <c r="C161" s="6" t="s">
        <v>7</v>
      </c>
      <c r="D161" s="6">
        <v>150</v>
      </c>
      <c r="E161" s="6">
        <v>0</v>
      </c>
      <c r="F161" s="6" t="str">
        <f>HYPERLINK(".\links\cds\TI-67-cds.txt","TI-67")</f>
        <v>TI-67</v>
      </c>
      <c r="G161" s="6">
        <v>449</v>
      </c>
      <c r="I161" s="6" t="s">
        <v>29</v>
      </c>
      <c r="J161" s="6" t="s">
        <v>8</v>
      </c>
      <c r="K161" s="6">
        <v>1</v>
      </c>
      <c r="L161" s="6">
        <v>0</v>
      </c>
      <c r="M161" s="6">
        <f t="shared" si="3"/>
        <v>1</v>
      </c>
      <c r="N161" s="6" t="s">
        <v>1170</v>
      </c>
      <c r="O161" s="6" t="s">
        <v>1171</v>
      </c>
      <c r="S161" s="6" t="s">
        <v>8</v>
      </c>
      <c r="AJ161" s="6" t="s">
        <v>8</v>
      </c>
      <c r="AX161" s="6" t="str">
        <f>HYPERLINK(".\links\PREV-RHOD-PEP\TI-67-PREV-RHOD-PEP.txt","Contig17151_4")</f>
        <v>Contig17151_4</v>
      </c>
      <c r="AY161" s="8">
        <v>2.9999999999999997E-4</v>
      </c>
      <c r="AZ161" s="6" t="s">
        <v>1043</v>
      </c>
      <c r="BA161" s="6">
        <v>40</v>
      </c>
      <c r="BB161" s="6">
        <v>17</v>
      </c>
      <c r="BC161" s="6">
        <v>100</v>
      </c>
      <c r="BD161" s="6">
        <v>100</v>
      </c>
      <c r="BE161" s="6">
        <v>18</v>
      </c>
      <c r="BF161" s="6">
        <v>0</v>
      </c>
      <c r="BG161" s="6">
        <v>0</v>
      </c>
      <c r="BH161" s="6">
        <v>64</v>
      </c>
      <c r="BI161" s="6">
        <v>64</v>
      </c>
      <c r="BJ161" s="6">
        <v>1</v>
      </c>
      <c r="BK161" s="6" t="s">
        <v>8</v>
      </c>
      <c r="CB161" s="6" t="s">
        <v>8</v>
      </c>
      <c r="CE161" s="6" t="s">
        <v>8</v>
      </c>
      <c r="CH161" s="6" t="s">
        <v>8</v>
      </c>
      <c r="CJ161" s="6" t="s">
        <v>8</v>
      </c>
      <c r="CL161" s="6" t="s">
        <v>8</v>
      </c>
      <c r="CN161" s="6" t="s">
        <v>8</v>
      </c>
      <c r="DB161" s="6" t="s">
        <v>8</v>
      </c>
    </row>
    <row r="162" spans="1:119" s="6" customFormat="1">
      <c r="A162" t="str">
        <f>HYPERLINK(".\links\pep\TI-65-pep.txt","TI-65")</f>
        <v>TI-65</v>
      </c>
      <c r="B162">
        <v>65</v>
      </c>
      <c r="C162" t="s">
        <v>22</v>
      </c>
      <c r="D162">
        <v>134</v>
      </c>
      <c r="E162">
        <v>0</v>
      </c>
      <c r="F162" t="str">
        <f>HYPERLINK(".\links\cds\TI-65-cds.txt","TI-65")</f>
        <v>TI-65</v>
      </c>
      <c r="G162">
        <v>401</v>
      </c>
      <c r="H162"/>
      <c r="I162" t="s">
        <v>8</v>
      </c>
      <c r="J162" t="s">
        <v>8</v>
      </c>
      <c r="K162">
        <v>1</v>
      </c>
      <c r="L162">
        <v>0</v>
      </c>
      <c r="M162">
        <f t="shared" si="3"/>
        <v>1</v>
      </c>
      <c r="N162" t="s">
        <v>1263</v>
      </c>
      <c r="O162" t="s">
        <v>1169</v>
      </c>
      <c r="P162" t="str">
        <f>HYPERLINK(".\links\GO\TI-65-GO.txt","GO")</f>
        <v>GO</v>
      </c>
      <c r="Q162">
        <v>4.0000000000000002E-9</v>
      </c>
      <c r="R162">
        <v>36.5</v>
      </c>
      <c r="S162" t="str">
        <f>HYPERLINK(".\links\NR-LIGHT\TI-65-NR-LIGHT.txt","selenophosphate synthase")</f>
        <v>selenophosphate synthase</v>
      </c>
      <c r="T162" t="str">
        <f>HYPERLINK("http://www.ncbi.nlm.nih.gov/sutils/blink.cgi?pid=157115185","2E-033")</f>
        <v>2E-033</v>
      </c>
      <c r="U162" t="str">
        <f>HYPERLINK("http://www.ncbi.nlm.nih.gov/protein/157115185","gi|157115185")</f>
        <v>gi|157115185</v>
      </c>
      <c r="V162">
        <v>143</v>
      </c>
      <c r="W162">
        <v>134</v>
      </c>
      <c r="X162">
        <v>277</v>
      </c>
      <c r="Y162">
        <v>49</v>
      </c>
      <c r="Z162">
        <v>49</v>
      </c>
      <c r="AA162">
        <v>68</v>
      </c>
      <c r="AB162">
        <v>1</v>
      </c>
      <c r="AC162">
        <v>65</v>
      </c>
      <c r="AD162">
        <v>1</v>
      </c>
      <c r="AE162">
        <v>1</v>
      </c>
      <c r="AF162"/>
      <c r="AG162" t="s">
        <v>13</v>
      </c>
      <c r="AH162" t="s">
        <v>51</v>
      </c>
      <c r="AI162" t="s">
        <v>76</v>
      </c>
      <c r="AJ162" t="str">
        <f>HYPERLINK(".\links\SWISSP\TI-65-SWISSP.txt","Selenide, water dikinase 1 OS=Mus musculus GN=Sephs1 PE=2 SV=1")</f>
        <v>Selenide, water dikinase 1 OS=Mus musculus GN=Sephs1 PE=2 SV=1</v>
      </c>
      <c r="AK162" t="str">
        <f>HYPERLINK("http://www.uniprot.org/uniprot/Q8BH69","7E-034")</f>
        <v>7E-034</v>
      </c>
      <c r="AL162" t="s">
        <v>128</v>
      </c>
      <c r="AM162">
        <v>142</v>
      </c>
      <c r="AN162">
        <v>133</v>
      </c>
      <c r="AO162">
        <v>392</v>
      </c>
      <c r="AP162">
        <v>48</v>
      </c>
      <c r="AQ162">
        <v>34</v>
      </c>
      <c r="AR162">
        <v>69</v>
      </c>
      <c r="AS162">
        <v>0</v>
      </c>
      <c r="AT162">
        <v>162</v>
      </c>
      <c r="AU162">
        <v>1</v>
      </c>
      <c r="AV162">
        <v>1</v>
      </c>
      <c r="AW162" t="s">
        <v>87</v>
      </c>
      <c r="AX162" t="str">
        <f>HYPERLINK(".\links\PREV-RHOD-PEP\TI-65-PREV-RHOD-PEP.txt","Contig16819_4")</f>
        <v>Contig16819_4</v>
      </c>
      <c r="AY162" s="3">
        <v>5.9999999999999998E-50</v>
      </c>
      <c r="AZ162" t="s">
        <v>1042</v>
      </c>
      <c r="BA162">
        <v>191</v>
      </c>
      <c r="BB162">
        <v>118</v>
      </c>
      <c r="BC162">
        <v>203</v>
      </c>
      <c r="BD162">
        <v>78</v>
      </c>
      <c r="BE162">
        <v>59</v>
      </c>
      <c r="BF162">
        <v>26</v>
      </c>
      <c r="BG162">
        <v>5</v>
      </c>
      <c r="BH162">
        <v>5</v>
      </c>
      <c r="BI162">
        <v>21</v>
      </c>
      <c r="BJ162">
        <v>1</v>
      </c>
      <c r="BK162" t="s">
        <v>574</v>
      </c>
      <c r="BL162">
        <f>HYPERLINK(".\links\GO\TI-65-GO.txt",5E-32)</f>
        <v>5.0000000000000004E-32</v>
      </c>
      <c r="BM162" t="s">
        <v>575</v>
      </c>
      <c r="BN162" t="s">
        <v>340</v>
      </c>
      <c r="BO162" t="s">
        <v>576</v>
      </c>
      <c r="BP162" t="s">
        <v>577</v>
      </c>
      <c r="BQ162" s="3">
        <v>6.9999999999999999E-28</v>
      </c>
      <c r="BR162" t="s">
        <v>375</v>
      </c>
      <c r="BS162" t="s">
        <v>375</v>
      </c>
      <c r="BT162"/>
      <c r="BU162" t="s">
        <v>376</v>
      </c>
      <c r="BV162" s="3">
        <v>6.9999999999999999E-28</v>
      </c>
      <c r="BW162" t="s">
        <v>578</v>
      </c>
      <c r="BX162" t="s">
        <v>340</v>
      </c>
      <c r="BY162" t="s">
        <v>576</v>
      </c>
      <c r="BZ162" t="s">
        <v>579</v>
      </c>
      <c r="CA162" s="3">
        <v>6.9999999999999999E-28</v>
      </c>
      <c r="CB162" t="s">
        <v>8</v>
      </c>
      <c r="CC162"/>
      <c r="CD162"/>
      <c r="CE162" t="s">
        <v>8</v>
      </c>
      <c r="CF162"/>
      <c r="CG162"/>
      <c r="CH162" t="s">
        <v>8</v>
      </c>
      <c r="CI162"/>
      <c r="CJ162" t="s">
        <v>8</v>
      </c>
      <c r="CK162"/>
      <c r="CL162" t="s">
        <v>8</v>
      </c>
      <c r="CM162"/>
      <c r="CN162" t="s">
        <v>8</v>
      </c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 t="s">
        <v>8</v>
      </c>
      <c r="DC162"/>
      <c r="DD162"/>
      <c r="DE162"/>
      <c r="DF162"/>
      <c r="DG162"/>
      <c r="DH162"/>
      <c r="DI162"/>
      <c r="DJ162"/>
      <c r="DK162"/>
      <c r="DL162"/>
      <c r="DM162"/>
      <c r="DN162"/>
      <c r="DO162"/>
    </row>
    <row r="163" spans="1:119" s="6" customFormat="1">
      <c r="A163" t="str">
        <f>HYPERLINK(".\links\pep\TI-64-pep.txt","TI-64")</f>
        <v>TI-64</v>
      </c>
      <c r="B163">
        <v>64</v>
      </c>
      <c r="C163" t="s">
        <v>19</v>
      </c>
      <c r="D163">
        <v>223</v>
      </c>
      <c r="E163">
        <v>0</v>
      </c>
      <c r="F163" t="str">
        <f>HYPERLINK(".\links\cds\TI-64-cds.txt","TI-64")</f>
        <v>TI-64</v>
      </c>
      <c r="G163">
        <v>667</v>
      </c>
      <c r="H163"/>
      <c r="I163" t="s">
        <v>8</v>
      </c>
      <c r="J163" t="s">
        <v>8</v>
      </c>
      <c r="K163">
        <v>2</v>
      </c>
      <c r="L163">
        <v>0</v>
      </c>
      <c r="M163">
        <f t="shared" si="3"/>
        <v>2</v>
      </c>
      <c r="N163" t="s">
        <v>1262</v>
      </c>
      <c r="O163" t="s">
        <v>1178</v>
      </c>
      <c r="P163" t="str">
        <f>HYPERLINK(".\links\NR-LIGHT\TI-64-NR-LIGHT.txt","NR-LIGHT")</f>
        <v>NR-LIGHT</v>
      </c>
      <c r="Q163" s="3">
        <v>7.0000000000000003E-62</v>
      </c>
      <c r="R163">
        <v>51</v>
      </c>
      <c r="S163" t="str">
        <f>HYPERLINK(".\links\NR-LIGHT\TI-64-NR-LIGHT.txt","heterogeneous nuclear ribonucleoprotein 87F-like")</f>
        <v>heterogeneous nuclear ribonucleoprotein 87F-like</v>
      </c>
      <c r="T163" t="str">
        <f>HYPERLINK("http://www.ncbi.nlm.nih.gov/sutils/blink.cgi?pid=328709829","7E-062")</f>
        <v>7E-062</v>
      </c>
      <c r="U163" t="str">
        <f>HYPERLINK("http://www.ncbi.nlm.nih.gov/protein/328709829","gi|328709829")</f>
        <v>gi|328709829</v>
      </c>
      <c r="V163">
        <v>238</v>
      </c>
      <c r="W163">
        <v>172</v>
      </c>
      <c r="X163">
        <v>349</v>
      </c>
      <c r="Y163">
        <v>65</v>
      </c>
      <c r="Z163">
        <v>50</v>
      </c>
      <c r="AA163">
        <v>62</v>
      </c>
      <c r="AB163">
        <v>9</v>
      </c>
      <c r="AC163">
        <v>5</v>
      </c>
      <c r="AD163">
        <v>39</v>
      </c>
      <c r="AE163">
        <v>1</v>
      </c>
      <c r="AF163"/>
      <c r="AG163" t="s">
        <v>13</v>
      </c>
      <c r="AH163" t="s">
        <v>51</v>
      </c>
      <c r="AI163" t="s">
        <v>264</v>
      </c>
      <c r="AJ163" t="str">
        <f>HYPERLINK(".\links\SWISSP\TI-64-SWISSP.txt","Heterogeneous nuclear ribonucleoprotein A1 OS=Drosophila melanogaster GN=Hrb98DE")</f>
        <v>Heterogeneous nuclear ribonucleoprotein A1 OS=Drosophila melanogaster GN=Hrb98DE</v>
      </c>
      <c r="AK163" t="str">
        <f>HYPERLINK("http://www.uniprot.org/uniprot/P07909","3E-059")</f>
        <v>3E-059</v>
      </c>
      <c r="AL163" t="s">
        <v>127</v>
      </c>
      <c r="AM163">
        <v>228</v>
      </c>
      <c r="AN163">
        <v>178</v>
      </c>
      <c r="AO163">
        <v>365</v>
      </c>
      <c r="AP163">
        <v>60</v>
      </c>
      <c r="AQ163">
        <v>49</v>
      </c>
      <c r="AR163">
        <v>72</v>
      </c>
      <c r="AS163">
        <v>2</v>
      </c>
      <c r="AT163">
        <v>22</v>
      </c>
      <c r="AU163">
        <v>35</v>
      </c>
      <c r="AV163">
        <v>2</v>
      </c>
      <c r="AW163" t="s">
        <v>52</v>
      </c>
      <c r="AX163" t="str">
        <f>HYPERLINK(".\links\PREV-RHOD-PEP\TI-64-PREV-RHOD-PEP.txt","Contig17966_159")</f>
        <v>Contig17966_159</v>
      </c>
      <c r="AY163" s="3">
        <v>5.0000000000000002E-98</v>
      </c>
      <c r="AZ163" t="s">
        <v>1041</v>
      </c>
      <c r="BA163">
        <v>352</v>
      </c>
      <c r="BB163">
        <v>184</v>
      </c>
      <c r="BC163">
        <v>939</v>
      </c>
      <c r="BD163">
        <v>91</v>
      </c>
      <c r="BE163">
        <v>20</v>
      </c>
      <c r="BF163">
        <v>16</v>
      </c>
      <c r="BG163">
        <v>1</v>
      </c>
      <c r="BH163">
        <v>550</v>
      </c>
      <c r="BI163">
        <v>35</v>
      </c>
      <c r="BJ163">
        <v>1</v>
      </c>
      <c r="BK163" t="s">
        <v>567</v>
      </c>
      <c r="BL163">
        <f>HYPERLINK(".\links\GO\TI-64-GO.txt",1E-59)</f>
        <v>1E-59</v>
      </c>
      <c r="BM163" t="s">
        <v>568</v>
      </c>
      <c r="BN163" t="s">
        <v>340</v>
      </c>
      <c r="BO163" t="s">
        <v>468</v>
      </c>
      <c r="BP163" t="s">
        <v>569</v>
      </c>
      <c r="BQ163" s="3">
        <v>7.0000000000000002E-59</v>
      </c>
      <c r="BR163" t="s">
        <v>570</v>
      </c>
      <c r="BS163" t="s">
        <v>477</v>
      </c>
      <c r="BT163" t="s">
        <v>477</v>
      </c>
      <c r="BU163" t="s">
        <v>571</v>
      </c>
      <c r="BV163" s="3">
        <v>7.0000000000000002E-59</v>
      </c>
      <c r="BW163" t="s">
        <v>572</v>
      </c>
      <c r="BX163" t="s">
        <v>340</v>
      </c>
      <c r="BY163" t="s">
        <v>468</v>
      </c>
      <c r="BZ163" t="s">
        <v>573</v>
      </c>
      <c r="CA163" s="3">
        <v>7.0000000000000002E-59</v>
      </c>
      <c r="CB163" t="s">
        <v>8</v>
      </c>
      <c r="CC163"/>
      <c r="CD163"/>
      <c r="CE163" t="s">
        <v>8</v>
      </c>
      <c r="CF163"/>
      <c r="CG163"/>
      <c r="CH163" t="s">
        <v>8</v>
      </c>
      <c r="CI163"/>
      <c r="CJ163" t="s">
        <v>8</v>
      </c>
      <c r="CK163"/>
      <c r="CL163" t="s">
        <v>8</v>
      </c>
      <c r="CM163"/>
      <c r="CN163" t="s">
        <v>8</v>
      </c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 t="s">
        <v>8</v>
      </c>
      <c r="DC163"/>
      <c r="DD163"/>
      <c r="DE163"/>
      <c r="DF163"/>
      <c r="DG163"/>
      <c r="DH163"/>
      <c r="DI163"/>
      <c r="DJ163"/>
      <c r="DK163"/>
      <c r="DL163"/>
      <c r="DM163"/>
      <c r="DN163"/>
      <c r="DO163"/>
    </row>
    <row r="164" spans="1:119" s="6" customFormat="1">
      <c r="A164" t="str">
        <f>HYPERLINK(".\links\pep\TI-63-pep.txt","TI-63")</f>
        <v>TI-63</v>
      </c>
      <c r="B164">
        <v>63</v>
      </c>
      <c r="C164" t="s">
        <v>24</v>
      </c>
      <c r="D164">
        <v>181</v>
      </c>
      <c r="E164">
        <v>0</v>
      </c>
      <c r="F164" t="str">
        <f>HYPERLINK(".\links\cds\TI-63-cds.txt","TI-63")</f>
        <v>TI-63</v>
      </c>
      <c r="G164">
        <v>540</v>
      </c>
      <c r="H164"/>
      <c r="I164" t="s">
        <v>8</v>
      </c>
      <c r="J164" t="s">
        <v>8</v>
      </c>
      <c r="K164">
        <v>1</v>
      </c>
      <c r="L164">
        <v>0</v>
      </c>
      <c r="M164">
        <f t="shared" si="3"/>
        <v>1</v>
      </c>
      <c r="N164" t="s">
        <v>1261</v>
      </c>
      <c r="O164" t="s">
        <v>1175</v>
      </c>
      <c r="P164" t="str">
        <f>HYPERLINK(".\links\NR-LIGHT\TI-63-NR-LIGHT.txt","NR-LIGHT")</f>
        <v>NR-LIGHT</v>
      </c>
      <c r="Q164" s="3">
        <v>2.0000000000000001E-37</v>
      </c>
      <c r="R164">
        <v>82.2</v>
      </c>
      <c r="S164" t="str">
        <f>HYPERLINK(".\links\NR-LIGHT\TI-63-NR-LIGHT.txt","cathepsin D (lysosomal aspartyl protease)")</f>
        <v>cathepsin D (lysosomal aspartyl protease)</v>
      </c>
      <c r="T164" t="str">
        <f>HYPERLINK("http://www.ncbi.nlm.nih.gov/sutils/blink.cgi?pid=226476910","2E-037")</f>
        <v>2E-037</v>
      </c>
      <c r="U164" t="str">
        <f>HYPERLINK("http://www.ncbi.nlm.nih.gov/protein/226476910","gi|226476910")</f>
        <v>gi|226476910</v>
      </c>
      <c r="V164">
        <v>157</v>
      </c>
      <c r="W164">
        <v>170</v>
      </c>
      <c r="X164">
        <v>220</v>
      </c>
      <c r="Y164">
        <v>41</v>
      </c>
      <c r="Z164">
        <v>78</v>
      </c>
      <c r="AA164">
        <v>105</v>
      </c>
      <c r="AB164">
        <v>11</v>
      </c>
      <c r="AC164">
        <v>17</v>
      </c>
      <c r="AD164">
        <v>2</v>
      </c>
      <c r="AE164">
        <v>1</v>
      </c>
      <c r="AF164"/>
      <c r="AG164" t="s">
        <v>13</v>
      </c>
      <c r="AH164" t="s">
        <v>51</v>
      </c>
      <c r="AI164" t="s">
        <v>137</v>
      </c>
      <c r="AJ164" t="str">
        <f>HYPERLINK(".\links\SWISSP\TI-63-SWISSP.txt","Cathepsin D OS=Gallus gallus GN=CTSD PE=1 SV=1")</f>
        <v>Cathepsin D OS=Gallus gallus GN=CTSD PE=1 SV=1</v>
      </c>
      <c r="AK164" t="str">
        <f>HYPERLINK("http://www.uniprot.org/uniprot/Q05744","1E-035")</f>
        <v>1E-035</v>
      </c>
      <c r="AL164" t="s">
        <v>125</v>
      </c>
      <c r="AM164">
        <v>149</v>
      </c>
      <c r="AN164">
        <v>125</v>
      </c>
      <c r="AO164">
        <v>398</v>
      </c>
      <c r="AP164">
        <v>50</v>
      </c>
      <c r="AQ164">
        <v>32</v>
      </c>
      <c r="AR164">
        <v>62</v>
      </c>
      <c r="AS164">
        <v>0</v>
      </c>
      <c r="AT164">
        <v>70</v>
      </c>
      <c r="AU164">
        <v>52</v>
      </c>
      <c r="AV164">
        <v>1</v>
      </c>
      <c r="AW164" t="s">
        <v>126</v>
      </c>
      <c r="AX164" t="str">
        <f>HYPERLINK(".\links\PREV-RHOD-PEP\TI-63-PREV-RHOD-PEP.txt","Contig16285_5")</f>
        <v>Contig16285_5</v>
      </c>
      <c r="AY164" s="3">
        <v>7.0000000000000006E-83</v>
      </c>
      <c r="AZ164" t="s">
        <v>1040</v>
      </c>
      <c r="BA164">
        <v>302</v>
      </c>
      <c r="BB164">
        <v>179</v>
      </c>
      <c r="BC164">
        <v>399</v>
      </c>
      <c r="BD164">
        <v>76</v>
      </c>
      <c r="BE164">
        <v>45</v>
      </c>
      <c r="BF164">
        <v>43</v>
      </c>
      <c r="BG164">
        <v>0</v>
      </c>
      <c r="BH164">
        <v>23</v>
      </c>
      <c r="BI164">
        <v>1</v>
      </c>
      <c r="BJ164">
        <v>1</v>
      </c>
      <c r="BK164" t="s">
        <v>566</v>
      </c>
      <c r="BL164">
        <f>HYPERLINK(".\links\GO\TI-63-GO.txt",6E-37)</f>
        <v>6E-37</v>
      </c>
      <c r="BM164" t="s">
        <v>455</v>
      </c>
      <c r="BN164" t="s">
        <v>345</v>
      </c>
      <c r="BO164" t="s">
        <v>349</v>
      </c>
      <c r="BP164" t="s">
        <v>456</v>
      </c>
      <c r="BQ164" s="3">
        <v>3.9999999999999998E-36</v>
      </c>
      <c r="BR164" t="s">
        <v>457</v>
      </c>
      <c r="BS164" t="s">
        <v>323</v>
      </c>
      <c r="BT164" t="s">
        <v>334</v>
      </c>
      <c r="BU164" t="s">
        <v>458</v>
      </c>
      <c r="BV164" s="3">
        <v>3.9999999999999998E-36</v>
      </c>
      <c r="BW164" t="s">
        <v>459</v>
      </c>
      <c r="BX164" t="s">
        <v>345</v>
      </c>
      <c r="BY164" t="s">
        <v>349</v>
      </c>
      <c r="BZ164" t="s">
        <v>460</v>
      </c>
      <c r="CA164" s="3">
        <v>3.9999999999999998E-36</v>
      </c>
      <c r="CB164" t="s">
        <v>8</v>
      </c>
      <c r="CC164"/>
      <c r="CD164"/>
      <c r="CE164" t="s">
        <v>8</v>
      </c>
      <c r="CF164"/>
      <c r="CG164"/>
      <c r="CH164" t="s">
        <v>8</v>
      </c>
      <c r="CI164"/>
      <c r="CJ164" t="s">
        <v>8</v>
      </c>
      <c r="CK164"/>
      <c r="CL164" t="s">
        <v>8</v>
      </c>
      <c r="CM164"/>
      <c r="CN164" t="s">
        <v>8</v>
      </c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 t="s">
        <v>8</v>
      </c>
      <c r="DC164"/>
      <c r="DD164"/>
      <c r="DE164"/>
      <c r="DF164"/>
      <c r="DG164"/>
      <c r="DH164"/>
      <c r="DI164"/>
      <c r="DJ164"/>
      <c r="DK164"/>
      <c r="DL164"/>
      <c r="DM164"/>
      <c r="DN164"/>
      <c r="DO164"/>
    </row>
    <row r="165" spans="1:119" s="6" customFormat="1">
      <c r="A165" s="6" t="str">
        <f>HYPERLINK(".\links\pep\TI-6-pep.txt","TI-6")</f>
        <v>TI-6</v>
      </c>
      <c r="B165" s="6">
        <v>6</v>
      </c>
      <c r="C165" s="6" t="s">
        <v>10</v>
      </c>
      <c r="D165" s="6">
        <v>77</v>
      </c>
      <c r="E165" s="6">
        <v>0</v>
      </c>
      <c r="F165" s="6" t="str">
        <f>HYPERLINK(".\links\cds\TI-6-cds.txt","TI-6")</f>
        <v>TI-6</v>
      </c>
      <c r="G165" s="6">
        <v>234</v>
      </c>
      <c r="I165" s="6" t="s">
        <v>8</v>
      </c>
      <c r="J165" s="6" t="s">
        <v>6</v>
      </c>
      <c r="K165" s="6">
        <v>1</v>
      </c>
      <c r="L165" s="6">
        <v>0</v>
      </c>
      <c r="M165" s="6">
        <f t="shared" si="3"/>
        <v>1</v>
      </c>
      <c r="N165" s="6" t="s">
        <v>1170</v>
      </c>
      <c r="O165" s="6" t="s">
        <v>1171</v>
      </c>
      <c r="S165" s="6" t="s">
        <v>8</v>
      </c>
      <c r="AJ165" s="6" t="s">
        <v>8</v>
      </c>
      <c r="AX165" s="6" t="s">
        <v>8</v>
      </c>
      <c r="BK165" s="6" t="s">
        <v>8</v>
      </c>
      <c r="CB165" s="6" t="s">
        <v>8</v>
      </c>
      <c r="CE165" s="6" t="s">
        <v>8</v>
      </c>
      <c r="CH165" s="6" t="s">
        <v>8</v>
      </c>
      <c r="CJ165" s="6" t="s">
        <v>8</v>
      </c>
      <c r="CL165" s="6" t="s">
        <v>8</v>
      </c>
      <c r="CN165" s="6" t="s">
        <v>8</v>
      </c>
      <c r="DB165" s="6" t="s">
        <v>8</v>
      </c>
    </row>
    <row r="166" spans="1:119" s="6" customFormat="1">
      <c r="A166" s="6" t="str">
        <f>HYPERLINK(".\links\pep\TI-588-pep.txt","TI-588")</f>
        <v>TI-588</v>
      </c>
      <c r="B166" s="6">
        <v>588</v>
      </c>
      <c r="C166" s="6" t="s">
        <v>10</v>
      </c>
      <c r="D166" s="6">
        <v>30</v>
      </c>
      <c r="E166" s="6">
        <v>0</v>
      </c>
      <c r="F166" s="6" t="str">
        <f>HYPERLINK(".\links\cds\TI-588-cds.txt","TI-588")</f>
        <v>TI-588</v>
      </c>
      <c r="G166" s="6">
        <v>93</v>
      </c>
      <c r="I166" s="6" t="s">
        <v>8</v>
      </c>
      <c r="J166" s="6" t="s">
        <v>6</v>
      </c>
      <c r="K166" s="6">
        <v>1</v>
      </c>
      <c r="L166" s="6">
        <v>0</v>
      </c>
      <c r="M166" s="6">
        <f t="shared" si="3"/>
        <v>1</v>
      </c>
      <c r="N166" s="6" t="s">
        <v>1170</v>
      </c>
      <c r="O166" s="6" t="s">
        <v>1171</v>
      </c>
      <c r="S166" s="6" t="s">
        <v>8</v>
      </c>
      <c r="AJ166" s="6" t="s">
        <v>8</v>
      </c>
      <c r="AX166" s="6" t="s">
        <v>8</v>
      </c>
      <c r="BK166" s="6" t="s">
        <v>8</v>
      </c>
      <c r="CB166" s="6" t="s">
        <v>8</v>
      </c>
      <c r="CE166" s="6" t="s">
        <v>8</v>
      </c>
      <c r="CH166" s="6" t="s">
        <v>8</v>
      </c>
      <c r="CJ166" s="6" t="s">
        <v>8</v>
      </c>
      <c r="CL166" s="6" t="s">
        <v>8</v>
      </c>
      <c r="CN166" s="6" t="s">
        <v>8</v>
      </c>
      <c r="DB166" s="6" t="s">
        <v>8</v>
      </c>
    </row>
    <row r="167" spans="1:119" s="6" customFormat="1">
      <c r="A167" s="6" t="str">
        <f>HYPERLINK(".\links\pep\TI-587-pep.txt","TI-587")</f>
        <v>TI-587</v>
      </c>
      <c r="B167" s="6">
        <v>587</v>
      </c>
      <c r="C167" s="6" t="s">
        <v>27</v>
      </c>
      <c r="D167" s="6">
        <v>53</v>
      </c>
      <c r="E167" s="6">
        <v>0</v>
      </c>
      <c r="F167" s="6" t="str">
        <f>HYPERLINK(".\links\cds\TI-587-cds.txt","TI-587")</f>
        <v>TI-587</v>
      </c>
      <c r="G167" s="6">
        <v>162</v>
      </c>
      <c r="I167" s="6" t="s">
        <v>8</v>
      </c>
      <c r="J167" s="6" t="s">
        <v>6</v>
      </c>
      <c r="K167" s="6">
        <v>2</v>
      </c>
      <c r="L167" s="6">
        <v>0</v>
      </c>
      <c r="M167" s="6">
        <f t="shared" si="3"/>
        <v>2</v>
      </c>
      <c r="N167" s="6" t="s">
        <v>1170</v>
      </c>
      <c r="O167" s="6" t="s">
        <v>1171</v>
      </c>
      <c r="S167" s="6" t="str">
        <f>HYPERLINK(".\links\NR-LIGHT\TI-587-NR-LIGHT.txt","mannose-1-phosphate guanyltransferase alpha-B")</f>
        <v>mannose-1-phosphate guanyltransferase alpha-B</v>
      </c>
      <c r="T167" s="6" t="str">
        <f>HYPERLINK("http://www.ncbi.nlm.nih.gov/sutils/blink.cgi?pid=41053852","3.5")</f>
        <v>3.5</v>
      </c>
      <c r="U167" s="6" t="str">
        <f>HYPERLINK("http://www.ncbi.nlm.nih.gov/protein/41053852","gi|41053852")</f>
        <v>gi|41053852</v>
      </c>
      <c r="V167" s="6">
        <v>32.700000000000003</v>
      </c>
      <c r="W167" s="6">
        <v>61</v>
      </c>
      <c r="X167" s="6">
        <v>422</v>
      </c>
      <c r="Y167" s="6">
        <v>33</v>
      </c>
      <c r="Z167" s="6">
        <v>15</v>
      </c>
      <c r="AA167" s="6">
        <v>41</v>
      </c>
      <c r="AB167" s="6">
        <v>16</v>
      </c>
      <c r="AC167" s="6">
        <v>196</v>
      </c>
      <c r="AD167" s="6">
        <v>3</v>
      </c>
      <c r="AE167" s="6">
        <v>1</v>
      </c>
      <c r="AG167" s="6" t="s">
        <v>13</v>
      </c>
      <c r="AH167" s="6" t="s">
        <v>51</v>
      </c>
      <c r="AI167" s="6" t="s">
        <v>85</v>
      </c>
      <c r="AJ167" s="6" t="s">
        <v>8</v>
      </c>
      <c r="AX167" s="6" t="s">
        <v>8</v>
      </c>
      <c r="BK167" s="6" t="s">
        <v>8</v>
      </c>
      <c r="CB167" s="6" t="s">
        <v>8</v>
      </c>
      <c r="CE167" s="6" t="s">
        <v>8</v>
      </c>
      <c r="CH167" s="6" t="s">
        <v>8</v>
      </c>
      <c r="CJ167" s="6" t="s">
        <v>8</v>
      </c>
      <c r="CL167" s="6" t="s">
        <v>8</v>
      </c>
      <c r="CN167" s="6" t="s">
        <v>8</v>
      </c>
      <c r="DB167" s="6" t="s">
        <v>8</v>
      </c>
    </row>
    <row r="168" spans="1:119" s="6" customFormat="1">
      <c r="A168" t="str">
        <f>HYPERLINK(".\links\pep\TI-586-pep.txt","TI-586")</f>
        <v>TI-586</v>
      </c>
      <c r="B168">
        <v>586</v>
      </c>
      <c r="C168" t="s">
        <v>23</v>
      </c>
      <c r="D168">
        <v>58</v>
      </c>
      <c r="E168" s="2">
        <v>1.7241379999999999</v>
      </c>
      <c r="F168" t="str">
        <f>HYPERLINK(".\links\cds\TI-586-cds.txt","TI-586")</f>
        <v>TI-586</v>
      </c>
      <c r="G168">
        <v>177</v>
      </c>
      <c r="H168"/>
      <c r="I168" t="s">
        <v>8</v>
      </c>
      <c r="J168" t="s">
        <v>6</v>
      </c>
      <c r="K168">
        <v>1</v>
      </c>
      <c r="L168">
        <v>0</v>
      </c>
      <c r="M168">
        <f t="shared" si="3"/>
        <v>1</v>
      </c>
      <c r="N168" t="s">
        <v>1243</v>
      </c>
      <c r="O168" t="s">
        <v>1168</v>
      </c>
      <c r="P168" t="str">
        <f>HYPERLINK(".\links\NR-LIGHT\TI-586-NR-LIGHT.txt","NR-LIGHT")</f>
        <v>NR-LIGHT</v>
      </c>
      <c r="Q168">
        <v>5.0000000000000003E-10</v>
      </c>
      <c r="R168">
        <v>39.5</v>
      </c>
      <c r="S168" t="str">
        <f>HYPERLINK(".\links\NR-LIGHT\TI-586-NR-LIGHT.txt","putative secreted salivary peptide precursor")</f>
        <v>putative secreted salivary peptide precursor</v>
      </c>
      <c r="T168" t="str">
        <f>HYPERLINK("http://www.ncbi.nlm.nih.gov/sutils/blink.cgi?pid=149689160","5E-010")</f>
        <v>5E-010</v>
      </c>
      <c r="U168" t="str">
        <f>HYPERLINK("http://www.ncbi.nlm.nih.gov/protein/149689160","gi|149689160")</f>
        <v>gi|149689160</v>
      </c>
      <c r="V168">
        <v>65.5</v>
      </c>
      <c r="W168">
        <v>33</v>
      </c>
      <c r="X168">
        <v>86</v>
      </c>
      <c r="Y168">
        <v>100</v>
      </c>
      <c r="Z168">
        <v>40</v>
      </c>
      <c r="AA168">
        <v>0</v>
      </c>
      <c r="AB168">
        <v>0</v>
      </c>
      <c r="AC168">
        <v>53</v>
      </c>
      <c r="AD168">
        <v>25</v>
      </c>
      <c r="AE168">
        <v>1</v>
      </c>
      <c r="AF168"/>
      <c r="AG168" t="s">
        <v>13</v>
      </c>
      <c r="AH168" t="s">
        <v>51</v>
      </c>
      <c r="AI168" t="s">
        <v>273</v>
      </c>
      <c r="AJ168" t="s">
        <v>8</v>
      </c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 t="str">
        <f>HYPERLINK(".\links\PREV-RHOD-PEP\TI-586-PREV-RHOD-PEP.txt","Contig17891_118")</f>
        <v>Contig17891_118</v>
      </c>
      <c r="AY168" s="3">
        <v>6E-9</v>
      </c>
      <c r="AZ168" t="s">
        <v>1018</v>
      </c>
      <c r="BA168">
        <v>55.8</v>
      </c>
      <c r="BB168">
        <v>33</v>
      </c>
      <c r="BC168">
        <v>86</v>
      </c>
      <c r="BD168">
        <v>79</v>
      </c>
      <c r="BE168">
        <v>40</v>
      </c>
      <c r="BF168">
        <v>7</v>
      </c>
      <c r="BG168">
        <v>0</v>
      </c>
      <c r="BH168">
        <v>53</v>
      </c>
      <c r="BI168">
        <v>25</v>
      </c>
      <c r="BJ168">
        <v>1</v>
      </c>
      <c r="BK168" t="s">
        <v>8</v>
      </c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 t="s">
        <v>8</v>
      </c>
      <c r="CC168"/>
      <c r="CD168"/>
      <c r="CE168" t="s">
        <v>8</v>
      </c>
      <c r="CF168"/>
      <c r="CG168"/>
      <c r="CH168" t="s">
        <v>8</v>
      </c>
      <c r="CI168"/>
      <c r="CJ168" t="s">
        <v>8</v>
      </c>
      <c r="CK168"/>
      <c r="CL168" t="s">
        <v>8</v>
      </c>
      <c r="CM168"/>
      <c r="CN168" t="s">
        <v>8</v>
      </c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 t="s">
        <v>8</v>
      </c>
      <c r="DC168"/>
      <c r="DD168"/>
      <c r="DE168"/>
      <c r="DF168"/>
      <c r="DG168"/>
      <c r="DH168"/>
      <c r="DI168"/>
      <c r="DJ168"/>
      <c r="DK168"/>
      <c r="DL168"/>
      <c r="DM168"/>
      <c r="DN168"/>
      <c r="DO168"/>
    </row>
    <row r="169" spans="1:119" s="6" customFormat="1">
      <c r="A169" s="6" t="str">
        <f>HYPERLINK(".\links\pep\TI-585-pep.txt","TI-585")</f>
        <v>TI-585</v>
      </c>
      <c r="B169" s="6">
        <v>585</v>
      </c>
      <c r="C169" s="6" t="s">
        <v>16</v>
      </c>
      <c r="D169" s="6">
        <v>150</v>
      </c>
      <c r="E169" s="6">
        <v>0</v>
      </c>
      <c r="F169" s="6" t="str">
        <f>HYPERLINK(".\links\cds\TI-585-cds.txt","TI-585")</f>
        <v>TI-585</v>
      </c>
      <c r="G169" s="6">
        <v>453</v>
      </c>
      <c r="I169" s="6" t="s">
        <v>8</v>
      </c>
      <c r="J169" s="6" t="s">
        <v>6</v>
      </c>
      <c r="K169" s="6">
        <v>1</v>
      </c>
      <c r="L169" s="6">
        <v>0</v>
      </c>
      <c r="M169" s="6">
        <f t="shared" si="3"/>
        <v>1</v>
      </c>
      <c r="N169" s="6" t="s">
        <v>1170</v>
      </c>
      <c r="O169" s="6" t="s">
        <v>1171</v>
      </c>
      <c r="S169" s="6" t="s">
        <v>8</v>
      </c>
      <c r="AJ169" s="6" t="s">
        <v>8</v>
      </c>
      <c r="AX169" s="6" t="s">
        <v>8</v>
      </c>
      <c r="BK169" s="6" t="s">
        <v>8</v>
      </c>
      <c r="CB169" s="6" t="s">
        <v>8</v>
      </c>
      <c r="CE169" s="6" t="s">
        <v>8</v>
      </c>
      <c r="CH169" s="6" t="s">
        <v>8</v>
      </c>
      <c r="CJ169" s="6" t="s">
        <v>8</v>
      </c>
      <c r="CL169" s="6" t="s">
        <v>8</v>
      </c>
      <c r="CN169" s="6" t="s">
        <v>8</v>
      </c>
      <c r="DB169" s="6" t="s">
        <v>8</v>
      </c>
    </row>
    <row r="170" spans="1:119" s="6" customFormat="1">
      <c r="A170" t="str">
        <f>HYPERLINK(".\links\pep\TI-583-pep.txt","TI-583")</f>
        <v>TI-583</v>
      </c>
      <c r="B170">
        <v>583</v>
      </c>
      <c r="C170" t="s">
        <v>11</v>
      </c>
      <c r="D170">
        <v>44</v>
      </c>
      <c r="E170">
        <v>0</v>
      </c>
      <c r="F170" t="str">
        <f>HYPERLINK(".\links\cds\TI-583-cds.txt","TI-583")</f>
        <v>TI-583</v>
      </c>
      <c r="G170">
        <v>135</v>
      </c>
      <c r="H170"/>
      <c r="I170" t="s">
        <v>8</v>
      </c>
      <c r="J170" t="s">
        <v>6</v>
      </c>
      <c r="K170">
        <v>2</v>
      </c>
      <c r="L170">
        <v>0</v>
      </c>
      <c r="M170">
        <f t="shared" si="3"/>
        <v>2</v>
      </c>
      <c r="N170" t="s">
        <v>1360</v>
      </c>
      <c r="O170" t="s">
        <v>1189</v>
      </c>
      <c r="P170" t="str">
        <f>HYPERLINK(".\links\GO\TI-583-GO.txt","GO")</f>
        <v>GO</v>
      </c>
      <c r="Q170">
        <v>3.9999999999999998E-11</v>
      </c>
      <c r="R170">
        <v>10.5</v>
      </c>
      <c r="S170" t="str">
        <f>HYPERLINK(".\links\NR-LIGHT\TI-583-NR-LIGHT.txt","eukaryotic initiation factor 4A-II, putative")</f>
        <v>eukaryotic initiation factor 4A-II, putative</v>
      </c>
      <c r="T170" t="str">
        <f>HYPERLINK("http://www.ncbi.nlm.nih.gov/sutils/blink.cgi?pid=242007840","5E-012")</f>
        <v>5E-012</v>
      </c>
      <c r="U170" t="str">
        <f>HYPERLINK("http://www.ncbi.nlm.nih.gov/protein/242007840","gi|242007840")</f>
        <v>gi|242007840</v>
      </c>
      <c r="V170">
        <v>72</v>
      </c>
      <c r="W170">
        <v>41</v>
      </c>
      <c r="X170">
        <v>449</v>
      </c>
      <c r="Y170">
        <v>78</v>
      </c>
      <c r="Z170">
        <v>9</v>
      </c>
      <c r="AA170">
        <v>9</v>
      </c>
      <c r="AB170">
        <v>0</v>
      </c>
      <c r="AC170">
        <v>408</v>
      </c>
      <c r="AD170">
        <v>2</v>
      </c>
      <c r="AE170">
        <v>1</v>
      </c>
      <c r="AF170"/>
      <c r="AG170" t="s">
        <v>13</v>
      </c>
      <c r="AH170" t="s">
        <v>51</v>
      </c>
      <c r="AI170" t="s">
        <v>268</v>
      </c>
      <c r="AJ170" t="str">
        <f>HYPERLINK(".\links\SWISSP\TI-583-SWISSP.txt","ATP-dependent RNA helicase fal1 OS=Schizosaccharomyces pombe (strain ATCC 38366")</f>
        <v>ATP-dependent RNA helicase fal1 OS=Schizosaccharomyces pombe (strain ATCC 38366</v>
      </c>
      <c r="AK170" t="str">
        <f>HYPERLINK("http://www.uniprot.org/uniprot/Q10055","5E-012")</f>
        <v>5E-012</v>
      </c>
      <c r="AL170" t="s">
        <v>260</v>
      </c>
      <c r="AM170">
        <v>69.7</v>
      </c>
      <c r="AN170">
        <v>41</v>
      </c>
      <c r="AO170">
        <v>394</v>
      </c>
      <c r="AP170">
        <v>69</v>
      </c>
      <c r="AQ170">
        <v>11</v>
      </c>
      <c r="AR170">
        <v>13</v>
      </c>
      <c r="AS170">
        <v>0</v>
      </c>
      <c r="AT170">
        <v>353</v>
      </c>
      <c r="AU170">
        <v>2</v>
      </c>
      <c r="AV170">
        <v>1</v>
      </c>
      <c r="AW170" t="s">
        <v>159</v>
      </c>
      <c r="AX170" t="str">
        <f>HYPERLINK(".\links\PREV-RHOD-PEP\TI-583-PREV-RHOD-PEP.txt","Contig17157_4")</f>
        <v>Contig17157_4</v>
      </c>
      <c r="AY170" s="3">
        <v>4.9999999999999999E-20</v>
      </c>
      <c r="AZ170" t="s">
        <v>1163</v>
      </c>
      <c r="BA170">
        <v>92.4</v>
      </c>
      <c r="BB170">
        <v>42</v>
      </c>
      <c r="BC170">
        <v>422</v>
      </c>
      <c r="BD170">
        <v>100</v>
      </c>
      <c r="BE170">
        <v>10</v>
      </c>
      <c r="BF170">
        <v>0</v>
      </c>
      <c r="BG170">
        <v>0</v>
      </c>
      <c r="BH170">
        <v>380</v>
      </c>
      <c r="BI170">
        <v>2</v>
      </c>
      <c r="BJ170">
        <v>1</v>
      </c>
      <c r="BK170" t="s">
        <v>969</v>
      </c>
      <c r="BL170">
        <f>HYPERLINK(".\links\GO\TI-583-GO.txt",0.000000000001)</f>
        <v>9.9999999999999998E-13</v>
      </c>
      <c r="BM170" t="s">
        <v>575</v>
      </c>
      <c r="BN170" t="s">
        <v>340</v>
      </c>
      <c r="BO170" t="s">
        <v>576</v>
      </c>
      <c r="BP170" t="s">
        <v>577</v>
      </c>
      <c r="BQ170">
        <v>9.9999999999999998E-13</v>
      </c>
      <c r="BR170" t="s">
        <v>513</v>
      </c>
      <c r="BS170" t="s">
        <v>477</v>
      </c>
      <c r="BT170" t="s">
        <v>477</v>
      </c>
      <c r="BU170" t="s">
        <v>514</v>
      </c>
      <c r="BV170">
        <v>9.9999999999999998E-13</v>
      </c>
      <c r="BW170" t="s">
        <v>515</v>
      </c>
      <c r="BX170" t="s">
        <v>340</v>
      </c>
      <c r="BY170" t="s">
        <v>576</v>
      </c>
      <c r="BZ170" t="s">
        <v>516</v>
      </c>
      <c r="CA170">
        <v>9.9999999999999998E-13</v>
      </c>
      <c r="CB170" t="s">
        <v>8</v>
      </c>
      <c r="CC170"/>
      <c r="CD170"/>
      <c r="CE170" t="s">
        <v>8</v>
      </c>
      <c r="CF170"/>
      <c r="CG170"/>
      <c r="CH170" t="s">
        <v>8</v>
      </c>
      <c r="CI170"/>
      <c r="CJ170" t="s">
        <v>8</v>
      </c>
      <c r="CK170"/>
      <c r="CL170" t="s">
        <v>8</v>
      </c>
      <c r="CM170"/>
      <c r="CN170" t="s">
        <v>8</v>
      </c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 t="s">
        <v>8</v>
      </c>
      <c r="DC170"/>
      <c r="DD170"/>
      <c r="DE170"/>
      <c r="DF170"/>
      <c r="DG170"/>
      <c r="DH170"/>
      <c r="DI170"/>
      <c r="DJ170"/>
      <c r="DK170"/>
      <c r="DL170"/>
      <c r="DM170"/>
      <c r="DN170"/>
      <c r="DO170"/>
    </row>
    <row r="171" spans="1:119" s="6" customFormat="1">
      <c r="A171" t="str">
        <f>HYPERLINK(".\links\pep\TI-582-pep.txt","TI-582")</f>
        <v>TI-582</v>
      </c>
      <c r="B171">
        <v>582</v>
      </c>
      <c r="C171" t="s">
        <v>7</v>
      </c>
      <c r="D171">
        <v>86</v>
      </c>
      <c r="E171">
        <v>0</v>
      </c>
      <c r="F171" t="str">
        <f>HYPERLINK(".\links\cds\TI-582-cds.txt","TI-582")</f>
        <v>TI-582</v>
      </c>
      <c r="G171">
        <v>261</v>
      </c>
      <c r="H171"/>
      <c r="I171" t="s">
        <v>29</v>
      </c>
      <c r="J171" t="s">
        <v>6</v>
      </c>
      <c r="K171">
        <v>1</v>
      </c>
      <c r="L171">
        <v>0</v>
      </c>
      <c r="M171">
        <f t="shared" si="3"/>
        <v>1</v>
      </c>
      <c r="N171" t="s">
        <v>1359</v>
      </c>
      <c r="O171" t="s">
        <v>1208</v>
      </c>
      <c r="P171" t="str">
        <f>HYPERLINK(".\links\NR-LIGHT\TI-582-NR-LIGHT.txt","NR-LIGHT")</f>
        <v>NR-LIGHT</v>
      </c>
      <c r="Q171">
        <v>7.0000000000000005E-13</v>
      </c>
      <c r="R171">
        <v>79.7</v>
      </c>
      <c r="S171" t="str">
        <f>HYPERLINK(".\links\NR-LIGHT\TI-582-NR-LIGHT.txt","defensin A")</f>
        <v>defensin A</v>
      </c>
      <c r="T171" t="str">
        <f>HYPERLINK("http://www.ncbi.nlm.nih.gov/sutils/blink.cgi?pid=149689102","3E-013")</f>
        <v>3E-013</v>
      </c>
      <c r="U171" t="str">
        <f>HYPERLINK("http://www.ncbi.nlm.nih.gov/protein/149689102","gi|149689102")</f>
        <v>gi|149689102</v>
      </c>
      <c r="V171">
        <v>76.3</v>
      </c>
      <c r="W171">
        <v>73</v>
      </c>
      <c r="X171">
        <v>93</v>
      </c>
      <c r="Y171">
        <v>52</v>
      </c>
      <c r="Z171">
        <v>80</v>
      </c>
      <c r="AA171">
        <v>35</v>
      </c>
      <c r="AB171">
        <v>8</v>
      </c>
      <c r="AC171">
        <v>18</v>
      </c>
      <c r="AD171">
        <v>19</v>
      </c>
      <c r="AE171">
        <v>1</v>
      </c>
      <c r="AF171"/>
      <c r="AG171" t="s">
        <v>13</v>
      </c>
      <c r="AH171" t="s">
        <v>51</v>
      </c>
      <c r="AI171" t="s">
        <v>273</v>
      </c>
      <c r="AJ171" t="s">
        <v>8</v>
      </c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 t="str">
        <f>HYPERLINK(".\links\PREV-RHOD-PEP\TI-582-PREV-RHOD-PEP.txt","Contig17966_82")</f>
        <v>Contig17966_82</v>
      </c>
      <c r="AY171" s="3">
        <v>5.9999999999999997E-14</v>
      </c>
      <c r="AZ171" t="s">
        <v>1162</v>
      </c>
      <c r="BA171">
        <v>72.400000000000006</v>
      </c>
      <c r="BB171">
        <v>76</v>
      </c>
      <c r="BC171">
        <v>94</v>
      </c>
      <c r="BD171">
        <v>50</v>
      </c>
      <c r="BE171">
        <v>82</v>
      </c>
      <c r="BF171">
        <v>38</v>
      </c>
      <c r="BG171">
        <v>9</v>
      </c>
      <c r="BH171">
        <v>18</v>
      </c>
      <c r="BI171">
        <v>19</v>
      </c>
      <c r="BJ171">
        <v>1</v>
      </c>
      <c r="BK171" t="s">
        <v>8</v>
      </c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 t="s">
        <v>8</v>
      </c>
      <c r="CC171"/>
      <c r="CD171"/>
      <c r="CE171" t="s">
        <v>8</v>
      </c>
      <c r="CF171"/>
      <c r="CG171"/>
      <c r="CH171" t="s">
        <v>8</v>
      </c>
      <c r="CI171"/>
      <c r="CJ171" t="s">
        <v>8</v>
      </c>
      <c r="CK171"/>
      <c r="CL171" t="s">
        <v>8</v>
      </c>
      <c r="CM171"/>
      <c r="CN171" t="s">
        <v>8</v>
      </c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 t="s">
        <v>8</v>
      </c>
      <c r="DC171"/>
      <c r="DD171"/>
      <c r="DE171"/>
      <c r="DF171"/>
      <c r="DG171"/>
      <c r="DH171"/>
      <c r="DI171"/>
      <c r="DJ171"/>
      <c r="DK171"/>
      <c r="DL171"/>
      <c r="DM171"/>
      <c r="DN171"/>
      <c r="DO171"/>
    </row>
    <row r="172" spans="1:119" s="6" customFormat="1">
      <c r="A172" t="str">
        <f>HYPERLINK(".\links\pep\TI-581-pep.txt","TI-581")</f>
        <v>TI-581</v>
      </c>
      <c r="B172">
        <v>581</v>
      </c>
      <c r="C172" t="s">
        <v>7</v>
      </c>
      <c r="D172">
        <v>87</v>
      </c>
      <c r="E172">
        <v>0</v>
      </c>
      <c r="F172" t="str">
        <f>HYPERLINK(".\links\cds\TI-581-cds.txt","TI-581")</f>
        <v>TI-581</v>
      </c>
      <c r="G172">
        <v>264</v>
      </c>
      <c r="H172"/>
      <c r="I172" t="s">
        <v>29</v>
      </c>
      <c r="J172" t="s">
        <v>6</v>
      </c>
      <c r="K172">
        <v>1</v>
      </c>
      <c r="L172">
        <v>0</v>
      </c>
      <c r="M172">
        <f t="shared" si="3"/>
        <v>1</v>
      </c>
      <c r="N172" t="s">
        <v>1358</v>
      </c>
      <c r="O172" t="s">
        <v>1208</v>
      </c>
      <c r="P172" t="str">
        <f>HYPERLINK(".\links\NR-LIGHT\TI-581-NR-LIGHT.txt","NR-LIGHT")</f>
        <v>NR-LIGHT</v>
      </c>
      <c r="Q172">
        <v>4.9999999999999997E-12</v>
      </c>
      <c r="R172">
        <v>82</v>
      </c>
      <c r="S172" t="str">
        <f>HYPERLINK(".\links\NR-LIGHT\TI-581-NR-LIGHT.txt","defensin B")</f>
        <v>defensin B</v>
      </c>
      <c r="T172" t="str">
        <f>HYPERLINK("http://www.ncbi.nlm.nih.gov/sutils/blink.cgi?pid=29335960","1E-012")</f>
        <v>1E-012</v>
      </c>
      <c r="U172" t="str">
        <f>HYPERLINK("http://www.ncbi.nlm.nih.gov/protein/29335960","gi|29335960")</f>
        <v>gi|29335960</v>
      </c>
      <c r="V172">
        <v>74.3</v>
      </c>
      <c r="W172">
        <v>75</v>
      </c>
      <c r="X172">
        <v>94</v>
      </c>
      <c r="Y172">
        <v>48</v>
      </c>
      <c r="Z172">
        <v>81</v>
      </c>
      <c r="AA172">
        <v>39</v>
      </c>
      <c r="AB172">
        <v>8</v>
      </c>
      <c r="AC172">
        <v>18</v>
      </c>
      <c r="AD172">
        <v>19</v>
      </c>
      <c r="AE172">
        <v>1</v>
      </c>
      <c r="AF172"/>
      <c r="AG172" t="s">
        <v>13</v>
      </c>
      <c r="AH172" t="s">
        <v>51</v>
      </c>
      <c r="AI172" t="s">
        <v>302</v>
      </c>
      <c r="AJ172" t="s">
        <v>8</v>
      </c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 t="str">
        <f>HYPERLINK(".\links\PREV-RHOD-PEP\TI-581-PREV-RHOD-PEP.txt","Contig17966_82")</f>
        <v>Contig17966_82</v>
      </c>
      <c r="AY172" s="3">
        <v>1E-14</v>
      </c>
      <c r="AZ172" t="s">
        <v>1162</v>
      </c>
      <c r="BA172">
        <v>75.099999999999994</v>
      </c>
      <c r="BB172">
        <v>76</v>
      </c>
      <c r="BC172">
        <v>94</v>
      </c>
      <c r="BD172">
        <v>45</v>
      </c>
      <c r="BE172">
        <v>82</v>
      </c>
      <c r="BF172">
        <v>42</v>
      </c>
      <c r="BG172">
        <v>8</v>
      </c>
      <c r="BH172">
        <v>18</v>
      </c>
      <c r="BI172">
        <v>19</v>
      </c>
      <c r="BJ172">
        <v>1</v>
      </c>
      <c r="BK172" t="s">
        <v>8</v>
      </c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 t="s">
        <v>8</v>
      </c>
      <c r="CC172"/>
      <c r="CD172"/>
      <c r="CE172" t="s">
        <v>8</v>
      </c>
      <c r="CF172"/>
      <c r="CG172"/>
      <c r="CH172" t="s">
        <v>8</v>
      </c>
      <c r="CI172"/>
      <c r="CJ172" t="s">
        <v>8</v>
      </c>
      <c r="CK172"/>
      <c r="CL172" t="s">
        <v>8</v>
      </c>
      <c r="CM172"/>
      <c r="CN172" t="s">
        <v>8</v>
      </c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 t="s">
        <v>8</v>
      </c>
      <c r="DC172"/>
      <c r="DD172"/>
      <c r="DE172"/>
      <c r="DF172"/>
      <c r="DG172"/>
      <c r="DH172"/>
      <c r="DI172"/>
      <c r="DJ172"/>
      <c r="DK172"/>
      <c r="DL172"/>
      <c r="DM172"/>
      <c r="DN172"/>
      <c r="DO172"/>
    </row>
    <row r="173" spans="1:119" s="6" customFormat="1">
      <c r="A173" t="str">
        <f>HYPERLINK(".\links\pep\TI-578-pep.txt","TI-578")</f>
        <v>TI-578</v>
      </c>
      <c r="B173">
        <v>578</v>
      </c>
      <c r="C173" t="s">
        <v>11</v>
      </c>
      <c r="D173">
        <v>124</v>
      </c>
      <c r="E173">
        <v>0</v>
      </c>
      <c r="F173" t="str">
        <f>HYPERLINK(".\links\cds\TI-578-cds.txt","TI-578")</f>
        <v>TI-578</v>
      </c>
      <c r="G173">
        <v>371</v>
      </c>
      <c r="H173"/>
      <c r="I173" t="s">
        <v>8</v>
      </c>
      <c r="J173" t="s">
        <v>8</v>
      </c>
      <c r="K173">
        <v>1</v>
      </c>
      <c r="L173">
        <v>0</v>
      </c>
      <c r="M173">
        <f t="shared" si="3"/>
        <v>1</v>
      </c>
      <c r="N173" t="s">
        <v>1357</v>
      </c>
      <c r="O173" t="s">
        <v>1172</v>
      </c>
      <c r="P173" t="str">
        <f>HYPERLINK(".\links\GO\TI-578-GO.txt","GO")</f>
        <v>GO</v>
      </c>
      <c r="Q173" s="3">
        <v>2.0000000000000001E-27</v>
      </c>
      <c r="R173">
        <v>46.8</v>
      </c>
      <c r="S173" t="str">
        <f>HYPERLINK(".\links\NR-LIGHT\TI-578-NR-LIGHT.txt","truncated ATPase subunit 6")</f>
        <v>truncated ATPase subunit 6</v>
      </c>
      <c r="T173" t="str">
        <f>HYPERLINK("http://www.ncbi.nlm.nih.gov/sutils/blink.cgi?pid=149898887","1E-035")</f>
        <v>1E-035</v>
      </c>
      <c r="U173" t="str">
        <f>HYPERLINK("http://www.ncbi.nlm.nih.gov/protein/149898887","gi|149898887")</f>
        <v>gi|149898887</v>
      </c>
      <c r="V173">
        <v>150</v>
      </c>
      <c r="W173">
        <v>112</v>
      </c>
      <c r="X173">
        <v>222</v>
      </c>
      <c r="Y173">
        <v>69</v>
      </c>
      <c r="Z173">
        <v>51</v>
      </c>
      <c r="AA173">
        <v>34</v>
      </c>
      <c r="AB173">
        <v>0</v>
      </c>
      <c r="AC173">
        <v>110</v>
      </c>
      <c r="AD173">
        <v>1</v>
      </c>
      <c r="AE173">
        <v>1</v>
      </c>
      <c r="AF173"/>
      <c r="AG173" t="s">
        <v>13</v>
      </c>
      <c r="AH173" t="s">
        <v>51</v>
      </c>
      <c r="AI173" t="s">
        <v>273</v>
      </c>
      <c r="AJ173" t="str">
        <f>HYPERLINK(".\links\SWISSP\TI-578-SWISSP.txt","ATP synthase subunit a OS=Drosophila melanogaster GN=mt:ATPase6 PE=3 SV=2")</f>
        <v>ATP synthase subunit a OS=Drosophila melanogaster GN=mt:ATPase6 PE=3 SV=2</v>
      </c>
      <c r="AK173" t="str">
        <f>HYPERLINK("http://www.uniprot.org/uniprot/P00850","1E-026")</f>
        <v>1E-026</v>
      </c>
      <c r="AL173" t="s">
        <v>259</v>
      </c>
      <c r="AM173">
        <v>118</v>
      </c>
      <c r="AN173">
        <v>104</v>
      </c>
      <c r="AO173">
        <v>224</v>
      </c>
      <c r="AP173">
        <v>58</v>
      </c>
      <c r="AQ173">
        <v>47</v>
      </c>
      <c r="AR173">
        <v>44</v>
      </c>
      <c r="AS173">
        <v>0</v>
      </c>
      <c r="AT173">
        <v>119</v>
      </c>
      <c r="AU173">
        <v>9</v>
      </c>
      <c r="AV173">
        <v>1</v>
      </c>
      <c r="AW173" t="s">
        <v>52</v>
      </c>
      <c r="AX173" t="s">
        <v>8</v>
      </c>
      <c r="AY173"/>
      <c r="AZ173"/>
      <c r="BA173"/>
      <c r="BB173"/>
      <c r="BC173"/>
      <c r="BD173"/>
      <c r="BE173"/>
      <c r="BF173"/>
      <c r="BG173"/>
      <c r="BH173"/>
      <c r="BI173"/>
      <c r="BJ173"/>
      <c r="BK173" t="s">
        <v>966</v>
      </c>
      <c r="BL173">
        <f>HYPERLINK(".\links\GO\TI-578-GO.txt",2E-27)</f>
        <v>2.0000000000000001E-27</v>
      </c>
      <c r="BM173" t="s">
        <v>548</v>
      </c>
      <c r="BN173" t="s">
        <v>345</v>
      </c>
      <c r="BO173" t="s">
        <v>349</v>
      </c>
      <c r="BP173" t="s">
        <v>549</v>
      </c>
      <c r="BQ173" s="3">
        <v>2.0000000000000001E-27</v>
      </c>
      <c r="BR173" t="s">
        <v>608</v>
      </c>
      <c r="BS173" t="s">
        <v>323</v>
      </c>
      <c r="BT173" t="s">
        <v>334</v>
      </c>
      <c r="BU173" t="s">
        <v>609</v>
      </c>
      <c r="BV173" s="3">
        <v>2.0000000000000001E-27</v>
      </c>
      <c r="BW173" t="s">
        <v>967</v>
      </c>
      <c r="BX173" t="s">
        <v>345</v>
      </c>
      <c r="BY173" t="s">
        <v>349</v>
      </c>
      <c r="BZ173" t="s">
        <v>968</v>
      </c>
      <c r="CA173" s="3">
        <v>2.0000000000000001E-27</v>
      </c>
      <c r="CB173" t="s">
        <v>8</v>
      </c>
      <c r="CC173"/>
      <c r="CD173"/>
      <c r="CE173" t="s">
        <v>8</v>
      </c>
      <c r="CF173"/>
      <c r="CG173"/>
      <c r="CH173" t="s">
        <v>8</v>
      </c>
      <c r="CI173"/>
      <c r="CJ173" t="s">
        <v>8</v>
      </c>
      <c r="CK173"/>
      <c r="CL173" t="s">
        <v>8</v>
      </c>
      <c r="CM173"/>
      <c r="CN173" t="str">
        <f>HYPERLINK(".\links\MIT-PLA\TI-578-MIT-PLA.txt","Triatoma infestans clone TI-81 truncated ATPase subunit 6 mRNA, partial cds;")</f>
        <v>Triatoma infestans clone TI-81 truncated ATPase subunit 6 mRNA, partial cds;</v>
      </c>
      <c r="CO173" t="str">
        <f>HYPERLINK("http://www.ncbi.nlm.nih.gov/entrez/viewer.fcgi?db=nucleotide&amp;val=149898886","1E-150")</f>
        <v>1E-150</v>
      </c>
      <c r="CP173" t="str">
        <f>HYPERLINK("http://www.ncbi.nlm.nih.gov/entrez/viewer.fcgi?db=nucleotide&amp;val=149898886","gi|149898886")</f>
        <v>gi|149898886</v>
      </c>
      <c r="CQ173">
        <v>525</v>
      </c>
      <c r="CR173">
        <v>316</v>
      </c>
      <c r="CS173">
        <v>666</v>
      </c>
      <c r="CT173">
        <v>95</v>
      </c>
      <c r="CU173">
        <v>48</v>
      </c>
      <c r="CV173">
        <v>13</v>
      </c>
      <c r="CW173">
        <v>0</v>
      </c>
      <c r="CX173">
        <v>350</v>
      </c>
      <c r="CY173">
        <v>23</v>
      </c>
      <c r="CZ173">
        <v>1</v>
      </c>
      <c r="DA173" t="s">
        <v>51</v>
      </c>
      <c r="DB173" t="s">
        <v>8</v>
      </c>
      <c r="DC173"/>
      <c r="DD173"/>
      <c r="DE173"/>
      <c r="DF173"/>
      <c r="DG173"/>
      <c r="DH173"/>
      <c r="DI173"/>
      <c r="DJ173"/>
      <c r="DK173"/>
      <c r="DL173"/>
      <c r="DM173"/>
      <c r="DN173"/>
      <c r="DO173"/>
    </row>
    <row r="174" spans="1:119" s="6" customFormat="1">
      <c r="A174" t="str">
        <f>HYPERLINK(".\links\pep\TI-576-pep.txt","TI-576")</f>
        <v>TI-576</v>
      </c>
      <c r="B174">
        <v>576</v>
      </c>
      <c r="C174" t="s">
        <v>23</v>
      </c>
      <c r="D174">
        <v>114</v>
      </c>
      <c r="E174">
        <v>0</v>
      </c>
      <c r="F174" t="str">
        <f>HYPERLINK(".\links\cds\TI-576-cds.txt","TI-576")</f>
        <v>TI-576</v>
      </c>
      <c r="G174">
        <v>341</v>
      </c>
      <c r="H174"/>
      <c r="I174" t="s">
        <v>8</v>
      </c>
      <c r="J174" t="s">
        <v>8</v>
      </c>
      <c r="K174">
        <v>1</v>
      </c>
      <c r="L174">
        <v>0</v>
      </c>
      <c r="M174">
        <f t="shared" si="3"/>
        <v>1</v>
      </c>
      <c r="N174" t="s">
        <v>1357</v>
      </c>
      <c r="O174" t="s">
        <v>1172</v>
      </c>
      <c r="P174" t="str">
        <f>HYPERLINK(".\links\GO\TI-576-GO.txt","GO")</f>
        <v>GO</v>
      </c>
      <c r="Q174" s="3">
        <v>7.9999999999999998E-28</v>
      </c>
      <c r="R174">
        <v>46.8</v>
      </c>
      <c r="S174" t="str">
        <f>HYPERLINK(".\links\NR-LIGHT\TI-576-NR-LIGHT.txt","truncated ATPase subunit 6")</f>
        <v>truncated ATPase subunit 6</v>
      </c>
      <c r="T174" t="str">
        <f>HYPERLINK("http://www.ncbi.nlm.nih.gov/sutils/blink.cgi?pid=149898887","2E-035")</f>
        <v>2E-035</v>
      </c>
      <c r="U174" t="str">
        <f>HYPERLINK("http://www.ncbi.nlm.nih.gov/protein/149898887","gi|149898887")</f>
        <v>gi|149898887</v>
      </c>
      <c r="V174">
        <v>149</v>
      </c>
      <c r="W174">
        <v>104</v>
      </c>
      <c r="X174">
        <v>222</v>
      </c>
      <c r="Y174">
        <v>72</v>
      </c>
      <c r="Z174">
        <v>47</v>
      </c>
      <c r="AA174">
        <v>29</v>
      </c>
      <c r="AB174">
        <v>0</v>
      </c>
      <c r="AC174">
        <v>118</v>
      </c>
      <c r="AD174">
        <v>1</v>
      </c>
      <c r="AE174">
        <v>1</v>
      </c>
      <c r="AF174"/>
      <c r="AG174" t="s">
        <v>13</v>
      </c>
      <c r="AH174" t="s">
        <v>51</v>
      </c>
      <c r="AI174" t="s">
        <v>273</v>
      </c>
      <c r="AJ174" t="str">
        <f>HYPERLINK(".\links\SWISSP\TI-576-SWISSP.txt","ATP synthase subunit a OS=Drosophila melanogaster GN=mt:ATPase6 PE=3 SV=2")</f>
        <v>ATP synthase subunit a OS=Drosophila melanogaster GN=mt:ATPase6 PE=3 SV=2</v>
      </c>
      <c r="AK174" t="str">
        <f>HYPERLINK("http://www.uniprot.org/uniprot/P00850","3E-027")</f>
        <v>3E-027</v>
      </c>
      <c r="AL174" t="s">
        <v>259</v>
      </c>
      <c r="AM174">
        <v>120</v>
      </c>
      <c r="AN174">
        <v>104</v>
      </c>
      <c r="AO174">
        <v>224</v>
      </c>
      <c r="AP174">
        <v>57</v>
      </c>
      <c r="AQ174">
        <v>47</v>
      </c>
      <c r="AR174">
        <v>45</v>
      </c>
      <c r="AS174">
        <v>0</v>
      </c>
      <c r="AT174">
        <v>119</v>
      </c>
      <c r="AU174">
        <v>1</v>
      </c>
      <c r="AV174">
        <v>1</v>
      </c>
      <c r="AW174" t="s">
        <v>52</v>
      </c>
      <c r="AX174" t="s">
        <v>8</v>
      </c>
      <c r="AY174"/>
      <c r="AZ174"/>
      <c r="BA174"/>
      <c r="BB174"/>
      <c r="BC174"/>
      <c r="BD174"/>
      <c r="BE174"/>
      <c r="BF174"/>
      <c r="BG174"/>
      <c r="BH174"/>
      <c r="BI174"/>
      <c r="BJ174"/>
      <c r="BK174" t="s">
        <v>966</v>
      </c>
      <c r="BL174">
        <f>HYPERLINK(".\links\GO\TI-576-GO.txt",8E-28)</f>
        <v>7.9999999999999998E-28</v>
      </c>
      <c r="BM174" t="s">
        <v>548</v>
      </c>
      <c r="BN174" t="s">
        <v>345</v>
      </c>
      <c r="BO174" t="s">
        <v>349</v>
      </c>
      <c r="BP174" t="s">
        <v>549</v>
      </c>
      <c r="BQ174" s="3">
        <v>7.9999999999999998E-28</v>
      </c>
      <c r="BR174" t="s">
        <v>608</v>
      </c>
      <c r="BS174" t="s">
        <v>323</v>
      </c>
      <c r="BT174" t="s">
        <v>334</v>
      </c>
      <c r="BU174" t="s">
        <v>609</v>
      </c>
      <c r="BV174" s="3">
        <v>7.9999999999999998E-28</v>
      </c>
      <c r="BW174" t="s">
        <v>967</v>
      </c>
      <c r="BX174" t="s">
        <v>345</v>
      </c>
      <c r="BY174" t="s">
        <v>349</v>
      </c>
      <c r="BZ174" t="s">
        <v>968</v>
      </c>
      <c r="CA174" s="3">
        <v>7.9999999999999998E-28</v>
      </c>
      <c r="CB174" t="s">
        <v>8</v>
      </c>
      <c r="CC174"/>
      <c r="CD174"/>
      <c r="CE174" t="s">
        <v>8</v>
      </c>
      <c r="CF174"/>
      <c r="CG174"/>
      <c r="CH174" t="s">
        <v>8</v>
      </c>
      <c r="CI174"/>
      <c r="CJ174" t="s">
        <v>8</v>
      </c>
      <c r="CK174"/>
      <c r="CL174" t="s">
        <v>8</v>
      </c>
      <c r="CM174"/>
      <c r="CN174" t="str">
        <f>HYPERLINK(".\links\MIT-PLA\TI-576-MIT-PLA.txt","Triatoma infestans clone TI-81 truncated ATPase subunit 6 mRNA, partial cds;")</f>
        <v>Triatoma infestans clone TI-81 truncated ATPase subunit 6 mRNA, partial cds;</v>
      </c>
      <c r="CO174" t="str">
        <f>HYPERLINK("http://www.ncbi.nlm.nih.gov/entrez/viewer.fcgi?db=nucleotide&amp;val=149898886","1E-151")</f>
        <v>1E-151</v>
      </c>
      <c r="CP174" t="str">
        <f>HYPERLINK("http://www.ncbi.nlm.nih.gov/entrez/viewer.fcgi?db=nucleotide&amp;val=149898886","gi|149898886")</f>
        <v>gi|149898886</v>
      </c>
      <c r="CQ174">
        <v>529</v>
      </c>
      <c r="CR174">
        <v>314</v>
      </c>
      <c r="CS174">
        <v>666</v>
      </c>
      <c r="CT174">
        <v>96</v>
      </c>
      <c r="CU174">
        <v>47</v>
      </c>
      <c r="CV174">
        <v>12</v>
      </c>
      <c r="CW174">
        <v>0</v>
      </c>
      <c r="CX174">
        <v>352</v>
      </c>
      <c r="CY174">
        <v>1</v>
      </c>
      <c r="CZ174">
        <v>1</v>
      </c>
      <c r="DA174" t="s">
        <v>51</v>
      </c>
      <c r="DB174" t="s">
        <v>8</v>
      </c>
      <c r="DC174"/>
      <c r="DD174"/>
      <c r="DE174"/>
      <c r="DF174"/>
      <c r="DG174"/>
      <c r="DH174"/>
      <c r="DI174"/>
      <c r="DJ174"/>
      <c r="DK174"/>
      <c r="DL174"/>
      <c r="DM174"/>
      <c r="DN174"/>
      <c r="DO174"/>
    </row>
    <row r="175" spans="1:119" s="6" customFormat="1">
      <c r="A175" t="str">
        <f>HYPERLINK(".\links\pep\TI-575-pep.txt","TI-575")</f>
        <v>TI-575</v>
      </c>
      <c r="B175">
        <v>575</v>
      </c>
      <c r="C175" t="s">
        <v>23</v>
      </c>
      <c r="D175">
        <v>93</v>
      </c>
      <c r="E175">
        <v>0</v>
      </c>
      <c r="F175" t="str">
        <f>HYPERLINK(".\links\cds\TI-575-cds.txt","TI-575")</f>
        <v>TI-575</v>
      </c>
      <c r="G175">
        <v>276</v>
      </c>
      <c r="H175"/>
      <c r="I175" t="s">
        <v>8</v>
      </c>
      <c r="J175" t="s">
        <v>8</v>
      </c>
      <c r="K175">
        <v>4</v>
      </c>
      <c r="L175">
        <v>2</v>
      </c>
      <c r="M175">
        <f t="shared" si="3"/>
        <v>2</v>
      </c>
      <c r="N175" t="s">
        <v>1357</v>
      </c>
      <c r="O175" t="s">
        <v>1172</v>
      </c>
      <c r="P175" t="str">
        <f>HYPERLINK(".\links\GO\TI-575-GO.txt","GO")</f>
        <v>GO</v>
      </c>
      <c r="Q175" s="3">
        <v>9.9999999999999991E-22</v>
      </c>
      <c r="R175">
        <v>41.5</v>
      </c>
      <c r="S175" t="str">
        <f>HYPERLINK(".\links\NR-LIGHT\TI-575-NR-LIGHT.txt","truncated ATPase subunit 6")</f>
        <v>truncated ATPase subunit 6</v>
      </c>
      <c r="T175" t="str">
        <f>HYPERLINK("http://www.ncbi.nlm.nih.gov/sutils/blink.cgi?pid=149898887","3E-034")</f>
        <v>3E-034</v>
      </c>
      <c r="U175" t="str">
        <f>HYPERLINK("http://www.ncbi.nlm.nih.gov/protein/149898887","gi|149898887")</f>
        <v>gi|149898887</v>
      </c>
      <c r="V175">
        <v>145</v>
      </c>
      <c r="W175">
        <v>92</v>
      </c>
      <c r="X175">
        <v>222</v>
      </c>
      <c r="Y175">
        <v>76</v>
      </c>
      <c r="Z175">
        <v>42</v>
      </c>
      <c r="AA175">
        <v>22</v>
      </c>
      <c r="AB175">
        <v>0</v>
      </c>
      <c r="AC175">
        <v>118</v>
      </c>
      <c r="AD175">
        <v>1</v>
      </c>
      <c r="AE175">
        <v>1</v>
      </c>
      <c r="AF175"/>
      <c r="AG175" t="s">
        <v>13</v>
      </c>
      <c r="AH175" t="s">
        <v>51</v>
      </c>
      <c r="AI175" t="s">
        <v>273</v>
      </c>
      <c r="AJ175" t="str">
        <f>HYPERLINK(".\links\SWISSP\TI-575-SWISSP.txt","ATP synthase subunit a OS=Aedes aegypti GN=mt:ATPase6 PE=2 SV=1")</f>
        <v>ATP synthase subunit a OS=Aedes aegypti GN=mt:ATPase6 PE=2 SV=1</v>
      </c>
      <c r="AK175" t="str">
        <f>HYPERLINK("http://www.uniprot.org/uniprot/Q1HRS5","2E-021")</f>
        <v>2E-021</v>
      </c>
      <c r="AL175" t="s">
        <v>258</v>
      </c>
      <c r="AM175">
        <v>100</v>
      </c>
      <c r="AN175">
        <v>91</v>
      </c>
      <c r="AO175">
        <v>226</v>
      </c>
      <c r="AP175">
        <v>53</v>
      </c>
      <c r="AQ175">
        <v>41</v>
      </c>
      <c r="AR175">
        <v>43</v>
      </c>
      <c r="AS175">
        <v>1</v>
      </c>
      <c r="AT175">
        <v>122</v>
      </c>
      <c r="AU175">
        <v>3</v>
      </c>
      <c r="AV175">
        <v>1</v>
      </c>
      <c r="AW175" t="s">
        <v>76</v>
      </c>
      <c r="AX175" t="s">
        <v>8</v>
      </c>
      <c r="AY175"/>
      <c r="AZ175"/>
      <c r="BA175"/>
      <c r="BB175"/>
      <c r="BC175"/>
      <c r="BD175"/>
      <c r="BE175"/>
      <c r="BF175"/>
      <c r="BG175"/>
      <c r="BH175"/>
      <c r="BI175"/>
      <c r="BJ175"/>
      <c r="BK175" t="s">
        <v>966</v>
      </c>
      <c r="BL175">
        <f>HYPERLINK(".\links\GO\TI-575-GO.txt",1E-21)</f>
        <v>9.9999999999999991E-22</v>
      </c>
      <c r="BM175" t="s">
        <v>548</v>
      </c>
      <c r="BN175" t="s">
        <v>345</v>
      </c>
      <c r="BO175" t="s">
        <v>349</v>
      </c>
      <c r="BP175" t="s">
        <v>549</v>
      </c>
      <c r="BQ175" s="3">
        <v>9.9999999999999991E-22</v>
      </c>
      <c r="BR175" t="s">
        <v>608</v>
      </c>
      <c r="BS175" t="s">
        <v>323</v>
      </c>
      <c r="BT175" t="s">
        <v>334</v>
      </c>
      <c r="BU175" t="s">
        <v>609</v>
      </c>
      <c r="BV175" s="3">
        <v>9.9999999999999991E-22</v>
      </c>
      <c r="BW175" t="s">
        <v>967</v>
      </c>
      <c r="BX175" t="s">
        <v>345</v>
      </c>
      <c r="BY175" t="s">
        <v>349</v>
      </c>
      <c r="BZ175" t="s">
        <v>968</v>
      </c>
      <c r="CA175" s="3">
        <v>9.9999999999999991E-22</v>
      </c>
      <c r="CB175" t="s">
        <v>8</v>
      </c>
      <c r="CC175"/>
      <c r="CD175"/>
      <c r="CE175" t="s">
        <v>8</v>
      </c>
      <c r="CF175"/>
      <c r="CG175"/>
      <c r="CH175" t="s">
        <v>8</v>
      </c>
      <c r="CI175"/>
      <c r="CJ175" t="s">
        <v>8</v>
      </c>
      <c r="CK175"/>
      <c r="CL175" t="s">
        <v>8</v>
      </c>
      <c r="CM175"/>
      <c r="CN175" t="str">
        <f>HYPERLINK(".\links\MIT-PLA\TI-575-MIT-PLA.txt","Triatoma infestans clone TI-81 truncated ATPase subunit 6 mRNA, partial cds;")</f>
        <v>Triatoma infestans clone TI-81 truncated ATPase subunit 6 mRNA, partial cds;</v>
      </c>
      <c r="CO175" t="str">
        <f>HYPERLINK("http://www.ncbi.nlm.nih.gov/entrez/viewer.fcgi?db=nucleotide&amp;val=149898886","1E-123")</f>
        <v>1E-123</v>
      </c>
      <c r="CP175" t="str">
        <f>HYPERLINK("http://www.ncbi.nlm.nih.gov/entrez/viewer.fcgi?db=nucleotide&amp;val=149898886","gi|149898886")</f>
        <v>gi|149898886</v>
      </c>
      <c r="CQ175">
        <v>436</v>
      </c>
      <c r="CR175">
        <v>275</v>
      </c>
      <c r="CS175">
        <v>666</v>
      </c>
      <c r="CT175">
        <v>94</v>
      </c>
      <c r="CU175">
        <v>41</v>
      </c>
      <c r="CV175">
        <v>14</v>
      </c>
      <c r="CW175">
        <v>0</v>
      </c>
      <c r="CX175">
        <v>352</v>
      </c>
      <c r="CY175">
        <v>1</v>
      </c>
      <c r="CZ175">
        <v>1</v>
      </c>
      <c r="DA175" t="s">
        <v>51</v>
      </c>
      <c r="DB175" t="s">
        <v>8</v>
      </c>
      <c r="DC175"/>
      <c r="DD175"/>
      <c r="DE175"/>
      <c r="DF175"/>
      <c r="DG175"/>
      <c r="DH175"/>
      <c r="DI175"/>
      <c r="DJ175"/>
      <c r="DK175"/>
      <c r="DL175"/>
      <c r="DM175"/>
      <c r="DN175"/>
      <c r="DO175"/>
    </row>
    <row r="176" spans="1:119" s="6" customFormat="1">
      <c r="A176" t="str">
        <f>HYPERLINK(".\links\pep\TI-568-pep.txt","TI-568")</f>
        <v>TI-568</v>
      </c>
      <c r="B176">
        <v>568</v>
      </c>
      <c r="C176" t="s">
        <v>23</v>
      </c>
      <c r="D176">
        <v>199</v>
      </c>
      <c r="E176">
        <v>0</v>
      </c>
      <c r="F176" t="str">
        <f>HYPERLINK(".\links\cds\TI-568-cds.txt","TI-568")</f>
        <v>TI-568</v>
      </c>
      <c r="G176">
        <v>595</v>
      </c>
      <c r="H176"/>
      <c r="I176" t="s">
        <v>8</v>
      </c>
      <c r="J176" t="s">
        <v>8</v>
      </c>
      <c r="K176">
        <v>1</v>
      </c>
      <c r="L176">
        <v>0</v>
      </c>
      <c r="M176">
        <f t="shared" si="3"/>
        <v>1</v>
      </c>
      <c r="N176" t="s">
        <v>1353</v>
      </c>
      <c r="O176" t="s">
        <v>1178</v>
      </c>
      <c r="P176" t="str">
        <f>HYPERLINK(".\links\NR-LIGHT\TI-568-NR-LIGHT.txt","NR-LIGHT")</f>
        <v>NR-LIGHT</v>
      </c>
      <c r="Q176" s="3">
        <v>3.9999999999999998E-57</v>
      </c>
      <c r="R176">
        <v>83.5</v>
      </c>
      <c r="S176" t="str">
        <f>HYPERLINK(".\links\NR-LIGHT\TI-568-NR-LIGHT.txt","similar to ubiquitin conjugating enzyme E2, J2")</f>
        <v>similar to ubiquitin conjugating enzyme E2, J2</v>
      </c>
      <c r="T176" t="str">
        <f>HYPERLINK("http://www.ncbi.nlm.nih.gov/sutils/blink.cgi?pid=91082969","4E-057")</f>
        <v>4E-057</v>
      </c>
      <c r="U176" t="str">
        <f>HYPERLINK("http://www.ncbi.nlm.nih.gov/protein/91082969","gi|91082969")</f>
        <v>gi|91082969</v>
      </c>
      <c r="V176">
        <v>223</v>
      </c>
      <c r="W176">
        <v>169</v>
      </c>
      <c r="X176">
        <v>225</v>
      </c>
      <c r="Y176">
        <v>58</v>
      </c>
      <c r="Z176">
        <v>76</v>
      </c>
      <c r="AA176">
        <v>78</v>
      </c>
      <c r="AB176">
        <v>18</v>
      </c>
      <c r="AC176">
        <v>41</v>
      </c>
      <c r="AD176">
        <v>12</v>
      </c>
      <c r="AE176">
        <v>1</v>
      </c>
      <c r="AF176"/>
      <c r="AG176" t="s">
        <v>13</v>
      </c>
      <c r="AH176" t="s">
        <v>51</v>
      </c>
      <c r="AI176" t="s">
        <v>266</v>
      </c>
      <c r="AJ176" t="str">
        <f>HYPERLINK(".\links\SWISSP\TI-568-SWISSP.txt","Ubiquitin-conjugating enzyme E2 J2 OS=Homo sapiens GN=UBE2J2 PE=1 SV=3")</f>
        <v>Ubiquitin-conjugating enzyme E2 J2 OS=Homo sapiens GN=UBE2J2 PE=1 SV=3</v>
      </c>
      <c r="AK176" t="str">
        <f>HYPERLINK("http://www.uniprot.org/uniprot/Q8N2K1","3E-055")</f>
        <v>3E-055</v>
      </c>
      <c r="AL176" t="s">
        <v>257</v>
      </c>
      <c r="AM176">
        <v>214</v>
      </c>
      <c r="AN176">
        <v>201</v>
      </c>
      <c r="AO176">
        <v>259</v>
      </c>
      <c r="AP176">
        <v>56</v>
      </c>
      <c r="AQ176">
        <v>78</v>
      </c>
      <c r="AR176">
        <v>88</v>
      </c>
      <c r="AS176">
        <v>14</v>
      </c>
      <c r="AT176">
        <v>45</v>
      </c>
      <c r="AU176">
        <v>12</v>
      </c>
      <c r="AV176">
        <v>1</v>
      </c>
      <c r="AW176" t="s">
        <v>68</v>
      </c>
      <c r="AX176" t="str">
        <f>HYPERLINK(".\links\PREV-RHOD-PEP\TI-568-PREV-RHOD-PEP.txt","Contig18057_340")</f>
        <v>Contig18057_340</v>
      </c>
      <c r="AY176" s="3">
        <v>2.0000000000000001E-89</v>
      </c>
      <c r="AZ176" t="s">
        <v>1161</v>
      </c>
      <c r="BA176">
        <v>323</v>
      </c>
      <c r="BB176">
        <v>187</v>
      </c>
      <c r="BC176">
        <v>240</v>
      </c>
      <c r="BD176">
        <v>85</v>
      </c>
      <c r="BE176">
        <v>78</v>
      </c>
      <c r="BF176">
        <v>27</v>
      </c>
      <c r="BG176">
        <v>0</v>
      </c>
      <c r="BH176">
        <v>40</v>
      </c>
      <c r="BI176">
        <v>12</v>
      </c>
      <c r="BJ176">
        <v>1</v>
      </c>
      <c r="BK176" t="s">
        <v>958</v>
      </c>
      <c r="BL176">
        <f>HYPERLINK(".\links\GO\TI-568-GO.txt",8E-56)</f>
        <v>8.0000000000000003E-56</v>
      </c>
      <c r="BM176" t="s">
        <v>959</v>
      </c>
      <c r="BN176" t="s">
        <v>345</v>
      </c>
      <c r="BO176" t="s">
        <v>960</v>
      </c>
      <c r="BP176" t="s">
        <v>961</v>
      </c>
      <c r="BQ176" s="3">
        <v>9.9999999999999993E-40</v>
      </c>
      <c r="BR176" t="s">
        <v>962</v>
      </c>
      <c r="BS176" t="s">
        <v>477</v>
      </c>
      <c r="BT176" t="s">
        <v>477</v>
      </c>
      <c r="BU176" t="s">
        <v>963</v>
      </c>
      <c r="BV176" s="3">
        <v>9.9999999999999993E-40</v>
      </c>
      <c r="BW176" t="s">
        <v>964</v>
      </c>
      <c r="BX176" t="s">
        <v>345</v>
      </c>
      <c r="BY176" t="s">
        <v>960</v>
      </c>
      <c r="BZ176" t="s">
        <v>965</v>
      </c>
      <c r="CA176" s="3">
        <v>9.9999999999999993E-40</v>
      </c>
      <c r="CB176" t="s">
        <v>8</v>
      </c>
      <c r="CC176"/>
      <c r="CD176"/>
      <c r="CE176" t="s">
        <v>8</v>
      </c>
      <c r="CF176"/>
      <c r="CG176"/>
      <c r="CH176" t="s">
        <v>8</v>
      </c>
      <c r="CI176"/>
      <c r="CJ176" t="s">
        <v>8</v>
      </c>
      <c r="CK176"/>
      <c r="CL176" t="s">
        <v>8</v>
      </c>
      <c r="CM176"/>
      <c r="CN176" t="s">
        <v>8</v>
      </c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 t="s">
        <v>8</v>
      </c>
      <c r="DC176"/>
      <c r="DD176"/>
      <c r="DE176"/>
      <c r="DF176"/>
      <c r="DG176"/>
      <c r="DH176"/>
      <c r="DI176"/>
      <c r="DJ176"/>
      <c r="DK176"/>
      <c r="DL176"/>
      <c r="DM176"/>
      <c r="DN176"/>
      <c r="DO176"/>
    </row>
    <row r="177" spans="1:119" s="6" customFormat="1">
      <c r="A177" t="str">
        <f>HYPERLINK(".\links\pep\TI-565-pep.txt","TI-565")</f>
        <v>TI-565</v>
      </c>
      <c r="B177">
        <v>565</v>
      </c>
      <c r="C177" t="s">
        <v>7</v>
      </c>
      <c r="D177">
        <v>177</v>
      </c>
      <c r="E177">
        <v>0</v>
      </c>
      <c r="F177" t="str">
        <f>HYPERLINK(".\links\cds\TI-565-cds.txt","TI-565")</f>
        <v>TI-565</v>
      </c>
      <c r="G177">
        <v>530</v>
      </c>
      <c r="H177"/>
      <c r="I177" t="s">
        <v>29</v>
      </c>
      <c r="J177" t="s">
        <v>8</v>
      </c>
      <c r="K177">
        <v>4</v>
      </c>
      <c r="L177">
        <v>0</v>
      </c>
      <c r="M177">
        <f t="shared" si="3"/>
        <v>4</v>
      </c>
      <c r="N177" t="s">
        <v>1242</v>
      </c>
      <c r="O177" t="s">
        <v>1178</v>
      </c>
      <c r="P177" t="str">
        <f>HYPERLINK(".\links\NR-LIGHT\TI-565-NR-LIGHT.txt","NR-LIGHT")</f>
        <v>NR-LIGHT</v>
      </c>
      <c r="Q177" s="3">
        <v>7.9999999999999998E-48</v>
      </c>
      <c r="R177">
        <v>84.8</v>
      </c>
      <c r="S177" t="str">
        <f>HYPERLINK(".\links\NR-LIGHT\TI-565-NR-LIGHT.txt","rhodnius biogenic aminebinding-like protein")</f>
        <v>rhodnius biogenic aminebinding-like protein</v>
      </c>
      <c r="T177" t="str">
        <f>HYPERLINK("http://www.ncbi.nlm.nih.gov/sutils/blink.cgi?pid=307094890","8E-048")</f>
        <v>8E-048</v>
      </c>
      <c r="U177" t="str">
        <f>HYPERLINK("http://www.ncbi.nlm.nih.gov/protein/307094890","gi|307094890")</f>
        <v>gi|307094890</v>
      </c>
      <c r="V177">
        <v>191</v>
      </c>
      <c r="W177">
        <v>177</v>
      </c>
      <c r="X177">
        <v>211</v>
      </c>
      <c r="Y177">
        <v>53</v>
      </c>
      <c r="Z177">
        <v>84</v>
      </c>
      <c r="AA177">
        <v>84</v>
      </c>
      <c r="AB177">
        <v>3</v>
      </c>
      <c r="AC177">
        <v>1</v>
      </c>
      <c r="AD177">
        <v>1</v>
      </c>
      <c r="AE177">
        <v>1</v>
      </c>
      <c r="AF177"/>
      <c r="AG177" t="s">
        <v>13</v>
      </c>
      <c r="AH177" t="s">
        <v>51</v>
      </c>
      <c r="AI177" t="s">
        <v>278</v>
      </c>
      <c r="AJ177" t="str">
        <f>HYPERLINK(".\links\SWISSP\TI-565-SWISSP.txt","Apolipoprotein D OS=Macaca fascicularis GN=APOD PE=2 SV=1")</f>
        <v>Apolipoprotein D OS=Macaca fascicularis GN=APOD PE=2 SV=1</v>
      </c>
      <c r="AK177" t="str">
        <f>HYPERLINK("http://www.uniprot.org/uniprot/Q8SPI0","0.002")</f>
        <v>0.002</v>
      </c>
      <c r="AL177" t="s">
        <v>219</v>
      </c>
      <c r="AM177">
        <v>42</v>
      </c>
      <c r="AN177">
        <v>112</v>
      </c>
      <c r="AO177">
        <v>189</v>
      </c>
      <c r="AP177">
        <v>26</v>
      </c>
      <c r="AQ177">
        <v>60</v>
      </c>
      <c r="AR177">
        <v>99</v>
      </c>
      <c r="AS177">
        <v>24</v>
      </c>
      <c r="AT177">
        <v>27</v>
      </c>
      <c r="AU177">
        <v>24</v>
      </c>
      <c r="AV177">
        <v>1</v>
      </c>
      <c r="AW177" t="s">
        <v>220</v>
      </c>
      <c r="AX177" t="str">
        <f>HYPERLINK(".\links\PREV-RHOD-PEP\TI-565-PREV-RHOD-PEP.txt","Contig1709_3")</f>
        <v>Contig1709_3</v>
      </c>
      <c r="AY177" s="3">
        <v>6.0000000000000002E-45</v>
      </c>
      <c r="AZ177" t="s">
        <v>1160</v>
      </c>
      <c r="BA177">
        <v>176</v>
      </c>
      <c r="BB177">
        <v>166</v>
      </c>
      <c r="BC177">
        <v>206</v>
      </c>
      <c r="BD177">
        <v>50</v>
      </c>
      <c r="BE177">
        <v>81</v>
      </c>
      <c r="BF177">
        <v>84</v>
      </c>
      <c r="BG177">
        <v>2</v>
      </c>
      <c r="BH177">
        <v>2</v>
      </c>
      <c r="BI177">
        <v>1</v>
      </c>
      <c r="BJ177">
        <v>1</v>
      </c>
      <c r="BK177" t="s">
        <v>8</v>
      </c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 t="s">
        <v>8</v>
      </c>
      <c r="CC177"/>
      <c r="CD177"/>
      <c r="CE177" t="s">
        <v>8</v>
      </c>
      <c r="CF177"/>
      <c r="CG177"/>
      <c r="CH177" t="s">
        <v>8</v>
      </c>
      <c r="CI177"/>
      <c r="CJ177" t="s">
        <v>8</v>
      </c>
      <c r="CK177"/>
      <c r="CL177" t="s">
        <v>8</v>
      </c>
      <c r="CM177"/>
      <c r="CN177" t="s">
        <v>8</v>
      </c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 t="s">
        <v>8</v>
      </c>
      <c r="DC177"/>
      <c r="DD177"/>
      <c r="DE177"/>
      <c r="DF177"/>
      <c r="DG177"/>
      <c r="DH177"/>
      <c r="DI177"/>
      <c r="DJ177"/>
      <c r="DK177"/>
      <c r="DL177"/>
      <c r="DM177"/>
      <c r="DN177"/>
      <c r="DO177"/>
    </row>
    <row r="178" spans="1:119" s="6" customFormat="1">
      <c r="A178" t="str">
        <f>HYPERLINK(".\links\pep\TI-564-pep.txt","TI-564")</f>
        <v>TI-564</v>
      </c>
      <c r="B178">
        <v>564</v>
      </c>
      <c r="C178" t="s">
        <v>12</v>
      </c>
      <c r="D178">
        <v>210</v>
      </c>
      <c r="E178">
        <v>0</v>
      </c>
      <c r="F178" t="str">
        <f>HYPERLINK(".\links\cds\TI-564-cds.txt","TI-564")</f>
        <v>TI-564</v>
      </c>
      <c r="G178">
        <v>633</v>
      </c>
      <c r="H178"/>
      <c r="I178" t="s">
        <v>8</v>
      </c>
      <c r="J178" t="s">
        <v>6</v>
      </c>
      <c r="K178">
        <v>4</v>
      </c>
      <c r="L178">
        <v>0</v>
      </c>
      <c r="M178">
        <f t="shared" si="3"/>
        <v>4</v>
      </c>
      <c r="N178" t="s">
        <v>1241</v>
      </c>
      <c r="O178" t="s">
        <v>1168</v>
      </c>
      <c r="P178" t="str">
        <f>HYPERLINK(".\links\NR-LIGHT\TI-564-NR-LIGHT.txt","NR-LIGHT")</f>
        <v>NR-LIGHT</v>
      </c>
      <c r="Q178">
        <v>6E-9</v>
      </c>
      <c r="R178">
        <v>82.8</v>
      </c>
      <c r="S178" t="str">
        <f>HYPERLINK(".\links\NR-LIGHT\TI-564-NR-LIGHT.txt","rhodnius biogenic aminebinding-like protein")</f>
        <v>rhodnius biogenic aminebinding-like protein</v>
      </c>
      <c r="T178" t="str">
        <f>HYPERLINK("http://www.ncbi.nlm.nih.gov/sutils/blink.cgi?pid=307094890","4E-061")</f>
        <v>4E-061</v>
      </c>
      <c r="U178" t="str">
        <f>HYPERLINK("http://www.ncbi.nlm.nih.gov/protein/307094890","gi|307094890")</f>
        <v>gi|307094890</v>
      </c>
      <c r="V178">
        <v>236</v>
      </c>
      <c r="W178">
        <v>197</v>
      </c>
      <c r="X178">
        <v>211</v>
      </c>
      <c r="Y178">
        <v>55</v>
      </c>
      <c r="Z178">
        <v>94</v>
      </c>
      <c r="AA178">
        <v>89</v>
      </c>
      <c r="AB178">
        <v>1</v>
      </c>
      <c r="AC178">
        <v>9</v>
      </c>
      <c r="AD178">
        <v>14</v>
      </c>
      <c r="AE178">
        <v>1</v>
      </c>
      <c r="AF178"/>
      <c r="AG178" t="s">
        <v>13</v>
      </c>
      <c r="AH178" t="s">
        <v>51</v>
      </c>
      <c r="AI178" t="s">
        <v>278</v>
      </c>
      <c r="AJ178" t="str">
        <f>HYPERLINK(".\links\SWISSP\TI-564-SWISSP.txt","Apolipoprotein D OS=Macaca fascicularis GN=APOD PE=2 SV=1")</f>
        <v>Apolipoprotein D OS=Macaca fascicularis GN=APOD PE=2 SV=1</v>
      </c>
      <c r="AK178" t="str">
        <f>HYPERLINK("http://www.uniprot.org/uniprot/Q8SPI0","2E-004")</f>
        <v>2E-004</v>
      </c>
      <c r="AL178" t="s">
        <v>219</v>
      </c>
      <c r="AM178">
        <v>46.2</v>
      </c>
      <c r="AN178">
        <v>160</v>
      </c>
      <c r="AO178">
        <v>189</v>
      </c>
      <c r="AP178">
        <v>24</v>
      </c>
      <c r="AQ178">
        <v>85</v>
      </c>
      <c r="AR178">
        <v>137</v>
      </c>
      <c r="AS178">
        <v>25</v>
      </c>
      <c r="AT178">
        <v>27</v>
      </c>
      <c r="AU178">
        <v>30</v>
      </c>
      <c r="AV178">
        <v>1</v>
      </c>
      <c r="AW178" t="s">
        <v>220</v>
      </c>
      <c r="AX178" t="str">
        <f>HYPERLINK(".\links\PREV-RHOD-PEP\TI-564-PREV-RHOD-PEP.txt","Contig1709_3")</f>
        <v>Contig1709_3</v>
      </c>
      <c r="AY178" s="3">
        <v>3.0000000000000002E-55</v>
      </c>
      <c r="AZ178" t="s">
        <v>1160</v>
      </c>
      <c r="BA178">
        <v>210</v>
      </c>
      <c r="BB178">
        <v>200</v>
      </c>
      <c r="BC178">
        <v>206</v>
      </c>
      <c r="BD178">
        <v>47</v>
      </c>
      <c r="BE178">
        <v>98</v>
      </c>
      <c r="BF178">
        <v>106</v>
      </c>
      <c r="BG178">
        <v>2</v>
      </c>
      <c r="BH178">
        <v>6</v>
      </c>
      <c r="BI178">
        <v>11</v>
      </c>
      <c r="BJ178">
        <v>1</v>
      </c>
      <c r="BK178" t="s">
        <v>8</v>
      </c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 t="s">
        <v>8</v>
      </c>
      <c r="CC178"/>
      <c r="CD178"/>
      <c r="CE178" t="s">
        <v>8</v>
      </c>
      <c r="CF178"/>
      <c r="CG178"/>
      <c r="CH178" t="s">
        <v>8</v>
      </c>
      <c r="CI178"/>
      <c r="CJ178" t="s">
        <v>8</v>
      </c>
      <c r="CK178"/>
      <c r="CL178" t="s">
        <v>8</v>
      </c>
      <c r="CM178"/>
      <c r="CN178" t="s">
        <v>8</v>
      </c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 t="s">
        <v>8</v>
      </c>
      <c r="DC178"/>
      <c r="DD178"/>
      <c r="DE178"/>
      <c r="DF178"/>
      <c r="DG178"/>
      <c r="DH178"/>
      <c r="DI178"/>
      <c r="DJ178"/>
      <c r="DK178"/>
      <c r="DL178"/>
      <c r="DM178"/>
      <c r="DN178"/>
      <c r="DO178"/>
    </row>
    <row r="179" spans="1:119" s="6" customFormat="1">
      <c r="A179" s="6" t="str">
        <f>HYPERLINK(".\links\pep\TI-563-pep.txt","TI-563")</f>
        <v>TI-563</v>
      </c>
      <c r="B179" s="6">
        <v>563</v>
      </c>
      <c r="C179" s="6" t="s">
        <v>16</v>
      </c>
      <c r="D179" s="6">
        <v>46</v>
      </c>
      <c r="E179" s="6">
        <v>0</v>
      </c>
      <c r="F179" s="6" t="str">
        <f>HYPERLINK(".\links\cds\TI-563-cds.txt","TI-563")</f>
        <v>TI-563</v>
      </c>
      <c r="G179" s="6">
        <v>135</v>
      </c>
      <c r="I179" s="6" t="s">
        <v>8</v>
      </c>
      <c r="J179" s="6" t="s">
        <v>8</v>
      </c>
      <c r="K179" s="6">
        <v>1</v>
      </c>
      <c r="L179" s="6">
        <v>0</v>
      </c>
      <c r="M179" s="6">
        <f t="shared" si="3"/>
        <v>1</v>
      </c>
      <c r="N179" s="6" t="s">
        <v>1170</v>
      </c>
      <c r="O179" s="6" t="s">
        <v>1171</v>
      </c>
      <c r="S179" s="6" t="str">
        <f>HYPERLINK(".\links\NR-LIGHT\TI-563-NR-LIGHT.txt","zinc finger protein GLI1")</f>
        <v>zinc finger protein GLI1</v>
      </c>
      <c r="T179" s="6" t="str">
        <f>HYPERLINK("http://www.ncbi.nlm.nih.gov/sutils/blink.cgi?pid=170035164","1.1")</f>
        <v>1.1</v>
      </c>
      <c r="U179" s="6" t="str">
        <f>HYPERLINK("http://www.ncbi.nlm.nih.gov/protein/170035164","gi|170035164")</f>
        <v>gi|170035164</v>
      </c>
      <c r="V179" s="6">
        <v>34.299999999999997</v>
      </c>
      <c r="W179" s="6">
        <v>39</v>
      </c>
      <c r="X179" s="6">
        <v>670</v>
      </c>
      <c r="Y179" s="6">
        <v>37</v>
      </c>
      <c r="Z179" s="6">
        <v>6</v>
      </c>
      <c r="AA179" s="6">
        <v>25</v>
      </c>
      <c r="AB179" s="6">
        <v>0</v>
      </c>
      <c r="AC179" s="6">
        <v>176</v>
      </c>
      <c r="AD179" s="6">
        <v>1</v>
      </c>
      <c r="AE179" s="6">
        <v>1</v>
      </c>
      <c r="AG179" s="6" t="s">
        <v>13</v>
      </c>
      <c r="AH179" s="6" t="s">
        <v>51</v>
      </c>
      <c r="AI179" s="6" t="s">
        <v>263</v>
      </c>
      <c r="AJ179" s="6" t="s">
        <v>8</v>
      </c>
      <c r="AX179" s="6" t="s">
        <v>8</v>
      </c>
      <c r="BK179" s="6" t="s">
        <v>8</v>
      </c>
      <c r="CB179" s="6" t="s">
        <v>8</v>
      </c>
      <c r="CE179" s="6" t="s">
        <v>8</v>
      </c>
      <c r="CH179" s="6" t="s">
        <v>8</v>
      </c>
      <c r="CJ179" s="6" t="s">
        <v>8</v>
      </c>
      <c r="CL179" s="6" t="s">
        <v>8</v>
      </c>
      <c r="CN179" s="6" t="s">
        <v>8</v>
      </c>
      <c r="DB179" s="6" t="s">
        <v>8</v>
      </c>
    </row>
    <row r="180" spans="1:119" s="6" customFormat="1">
      <c r="A180" s="6" t="str">
        <f>HYPERLINK(".\links\pep\TI-562-pep.txt","TI-562")</f>
        <v>TI-562</v>
      </c>
      <c r="B180" s="6">
        <v>562</v>
      </c>
      <c r="C180" s="6" t="s">
        <v>14</v>
      </c>
      <c r="D180" s="6">
        <v>223</v>
      </c>
      <c r="E180" s="6">
        <v>0</v>
      </c>
      <c r="F180" s="6" t="str">
        <f>HYPERLINK(".\links\cds\TI-562-cds.txt","TI-562")</f>
        <v>TI-562</v>
      </c>
      <c r="G180" s="6">
        <v>672</v>
      </c>
      <c r="I180" s="6" t="s">
        <v>8</v>
      </c>
      <c r="J180" s="6" t="s">
        <v>6</v>
      </c>
      <c r="K180" s="6">
        <v>1</v>
      </c>
      <c r="L180" s="6">
        <v>0</v>
      </c>
      <c r="M180" s="6">
        <f t="shared" si="3"/>
        <v>1</v>
      </c>
      <c r="N180" s="6" t="s">
        <v>1170</v>
      </c>
      <c r="O180" s="6" t="s">
        <v>1171</v>
      </c>
      <c r="S180" s="6" t="str">
        <f>HYPERLINK(".\links\NR-LIGHT\TI-562-NR-LIGHT.txt","putative protein")</f>
        <v>putative protein</v>
      </c>
      <c r="T180" s="6" t="str">
        <f>HYPERLINK("http://www.ncbi.nlm.nih.gov/sutils/blink.cgi?pid=10129645","0.60")</f>
        <v>0.60</v>
      </c>
      <c r="U180" s="6" t="str">
        <f>HYPERLINK("http://www.ncbi.nlm.nih.gov/protein/10129645","gi|10129645")</f>
        <v>gi|10129645</v>
      </c>
      <c r="V180" s="6">
        <v>36.6</v>
      </c>
      <c r="W180" s="6">
        <v>90</v>
      </c>
      <c r="X180" s="6">
        <v>218</v>
      </c>
      <c r="Y180" s="6">
        <v>29</v>
      </c>
      <c r="Z180" s="6">
        <v>42</v>
      </c>
      <c r="AA180" s="6">
        <v>68</v>
      </c>
      <c r="AB180" s="6">
        <v>13</v>
      </c>
      <c r="AC180" s="6">
        <v>53</v>
      </c>
      <c r="AD180" s="6">
        <v>97</v>
      </c>
      <c r="AE180" s="6">
        <v>1</v>
      </c>
      <c r="AG180" s="6" t="s">
        <v>13</v>
      </c>
      <c r="AH180" s="6" t="s">
        <v>51</v>
      </c>
      <c r="AI180" s="6" t="s">
        <v>291</v>
      </c>
      <c r="AJ180" s="6" t="s">
        <v>8</v>
      </c>
      <c r="AX180" s="6" t="str">
        <f>HYPERLINK(".\links\PREV-RHOD-PEP\TI-562-PREV-RHOD-PEP.txt","Contig17710_43")</f>
        <v>Contig17710_43</v>
      </c>
      <c r="AY180" s="8">
        <v>6.9999999999999999E-76</v>
      </c>
      <c r="AZ180" s="6" t="s">
        <v>1159</v>
      </c>
      <c r="BA180" s="6">
        <v>279</v>
      </c>
      <c r="BB180" s="6">
        <v>204</v>
      </c>
      <c r="BC180" s="6">
        <v>223</v>
      </c>
      <c r="BD180" s="6">
        <v>66</v>
      </c>
      <c r="BE180" s="6">
        <v>92</v>
      </c>
      <c r="BF180" s="6">
        <v>69</v>
      </c>
      <c r="BG180" s="6">
        <v>2</v>
      </c>
      <c r="BH180" s="6">
        <v>3</v>
      </c>
      <c r="BI180" s="6">
        <v>14</v>
      </c>
      <c r="BJ180" s="6">
        <v>1</v>
      </c>
      <c r="BK180" s="6" t="s">
        <v>8</v>
      </c>
      <c r="CB180" s="6" t="s">
        <v>8</v>
      </c>
      <c r="CE180" s="6" t="s">
        <v>8</v>
      </c>
      <c r="CH180" s="6" t="s">
        <v>8</v>
      </c>
      <c r="CJ180" s="6" t="s">
        <v>8</v>
      </c>
      <c r="CL180" s="6" t="s">
        <v>8</v>
      </c>
      <c r="CN180" s="6" t="s">
        <v>8</v>
      </c>
      <c r="DB180" s="6" t="s">
        <v>8</v>
      </c>
    </row>
    <row r="181" spans="1:119" s="6" customFormat="1">
      <c r="A181" s="6" t="str">
        <f>HYPERLINK(".\links\pep\TI-558-pep.txt","TI-558")</f>
        <v>TI-558</v>
      </c>
      <c r="B181" s="6">
        <v>558</v>
      </c>
      <c r="C181" s="6" t="s">
        <v>15</v>
      </c>
      <c r="D181" s="6">
        <v>37</v>
      </c>
      <c r="E181" s="6">
        <v>0</v>
      </c>
      <c r="F181" s="6" t="str">
        <f>HYPERLINK(".\links\cds\TI-558-cds.txt","TI-558")</f>
        <v>TI-558</v>
      </c>
      <c r="G181" s="6">
        <v>114</v>
      </c>
      <c r="I181" s="6" t="s">
        <v>8</v>
      </c>
      <c r="J181" s="6" t="s">
        <v>6</v>
      </c>
      <c r="K181" s="6">
        <v>1</v>
      </c>
      <c r="L181" s="6">
        <v>0</v>
      </c>
      <c r="M181" s="6">
        <f t="shared" si="3"/>
        <v>1</v>
      </c>
      <c r="N181" s="6" t="s">
        <v>1170</v>
      </c>
      <c r="O181" s="6" t="s">
        <v>1171</v>
      </c>
      <c r="S181" s="6" t="s">
        <v>8</v>
      </c>
      <c r="AJ181" s="6" t="s">
        <v>8</v>
      </c>
      <c r="AX181" s="6" t="s">
        <v>8</v>
      </c>
      <c r="BK181" s="6" t="s">
        <v>8</v>
      </c>
      <c r="CB181" s="6" t="s">
        <v>8</v>
      </c>
      <c r="CE181" s="6" t="s">
        <v>8</v>
      </c>
      <c r="CH181" s="6" t="s">
        <v>8</v>
      </c>
      <c r="CJ181" s="6" t="s">
        <v>8</v>
      </c>
      <c r="CL181" s="6" t="s">
        <v>8</v>
      </c>
      <c r="CN181" s="6" t="s">
        <v>8</v>
      </c>
      <c r="DB181" s="6" t="s">
        <v>8</v>
      </c>
    </row>
    <row r="182" spans="1:119" s="6" customFormat="1">
      <c r="A182" t="str">
        <f>HYPERLINK(".\links\pep\TI-556-pep.txt","TI-556")</f>
        <v>TI-556</v>
      </c>
      <c r="B182">
        <v>556</v>
      </c>
      <c r="C182" t="s">
        <v>7</v>
      </c>
      <c r="D182">
        <v>242</v>
      </c>
      <c r="E182">
        <v>0</v>
      </c>
      <c r="F182" t="str">
        <f>HYPERLINK(".\links\cds\TI-556-cds.txt","TI-556")</f>
        <v>TI-556</v>
      </c>
      <c r="G182">
        <v>724</v>
      </c>
      <c r="H182"/>
      <c r="I182" t="s">
        <v>29</v>
      </c>
      <c r="J182" t="s">
        <v>8</v>
      </c>
      <c r="K182">
        <v>3</v>
      </c>
      <c r="L182">
        <v>2</v>
      </c>
      <c r="M182">
        <f t="shared" si="3"/>
        <v>1</v>
      </c>
      <c r="N182" t="s">
        <v>1351</v>
      </c>
      <c r="O182" t="s">
        <v>1168</v>
      </c>
      <c r="P182" t="str">
        <f>HYPERLINK(".\links\NR-LIGHT\TI-556-NR-LIGHT.txt","NR-LIGHT")</f>
        <v>NR-LIGHT</v>
      </c>
      <c r="Q182">
        <v>2.0000000000000001E-13</v>
      </c>
      <c r="R182">
        <v>88.5</v>
      </c>
      <c r="S182" t="str">
        <f>HYPERLINK(".\links\NR-LIGHT\TI-556-NR-LIGHT.txt","triabin-like lipocalin precursor")</f>
        <v>triabin-like lipocalin precursor</v>
      </c>
      <c r="T182" t="str">
        <f>HYPERLINK("http://www.ncbi.nlm.nih.gov/sutils/blink.cgi?pid=307094892","2E-013")</f>
        <v>2E-013</v>
      </c>
      <c r="U182" t="str">
        <f>HYPERLINK("http://www.ncbi.nlm.nih.gov/protein/307094892","gi|307094892")</f>
        <v>gi|307094892</v>
      </c>
      <c r="V182">
        <v>78.599999999999994</v>
      </c>
      <c r="W182">
        <v>179</v>
      </c>
      <c r="X182">
        <v>210</v>
      </c>
      <c r="Y182">
        <v>31</v>
      </c>
      <c r="Z182">
        <v>86</v>
      </c>
      <c r="AA182">
        <v>128</v>
      </c>
      <c r="AB182">
        <v>18</v>
      </c>
      <c r="AC182">
        <v>1</v>
      </c>
      <c r="AD182">
        <v>1</v>
      </c>
      <c r="AE182">
        <v>1</v>
      </c>
      <c r="AF182"/>
      <c r="AG182" t="s">
        <v>13</v>
      </c>
      <c r="AH182" t="s">
        <v>51</v>
      </c>
      <c r="AI182" t="s">
        <v>278</v>
      </c>
      <c r="AJ182" t="str">
        <f>HYPERLINK(".\links\SWISSP\TI-556-SWISSP.txt","Triabin OS=Triatoma pallidipennis PE=1 SV=1")</f>
        <v>Triabin OS=Triatoma pallidipennis PE=1 SV=1</v>
      </c>
      <c r="AK182" t="str">
        <f>HYPERLINK("http://www.uniprot.org/uniprot/Q27049","0.003")</f>
        <v>0.003</v>
      </c>
      <c r="AL182" t="s">
        <v>254</v>
      </c>
      <c r="AM182">
        <v>42.4</v>
      </c>
      <c r="AN182">
        <v>148</v>
      </c>
      <c r="AO182">
        <v>160</v>
      </c>
      <c r="AP182">
        <v>28</v>
      </c>
      <c r="AQ182">
        <v>93</v>
      </c>
      <c r="AR182">
        <v>124</v>
      </c>
      <c r="AS182">
        <v>37</v>
      </c>
      <c r="AT182">
        <v>1</v>
      </c>
      <c r="AU182">
        <v>1</v>
      </c>
      <c r="AV182">
        <v>1</v>
      </c>
      <c r="AW182" t="s">
        <v>255</v>
      </c>
      <c r="AX182" t="str">
        <f>HYPERLINK(".\links\PREV-RHOD-PEP\TI-556-PREV-RHOD-PEP.txt","Contig1709_2")</f>
        <v>Contig1709_2</v>
      </c>
      <c r="AY182" s="3">
        <v>1.0000000000000001E-31</v>
      </c>
      <c r="AZ182" t="s">
        <v>1157</v>
      </c>
      <c r="BA182">
        <v>132</v>
      </c>
      <c r="BB182">
        <v>158</v>
      </c>
      <c r="BC182">
        <v>369</v>
      </c>
      <c r="BD182">
        <v>41</v>
      </c>
      <c r="BE182">
        <v>43</v>
      </c>
      <c r="BF182">
        <v>97</v>
      </c>
      <c r="BG182">
        <v>10</v>
      </c>
      <c r="BH182">
        <v>1</v>
      </c>
      <c r="BI182">
        <v>1</v>
      </c>
      <c r="BJ182">
        <v>1</v>
      </c>
      <c r="BK182" t="s">
        <v>8</v>
      </c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 t="s">
        <v>8</v>
      </c>
      <c r="CC182"/>
      <c r="CD182"/>
      <c r="CE182" t="s">
        <v>8</v>
      </c>
      <c r="CF182"/>
      <c r="CG182"/>
      <c r="CH182" t="s">
        <v>8</v>
      </c>
      <c r="CI182"/>
      <c r="CJ182" t="s">
        <v>8</v>
      </c>
      <c r="CK182"/>
      <c r="CL182" t="s">
        <v>8</v>
      </c>
      <c r="CM182"/>
      <c r="CN182" t="s">
        <v>8</v>
      </c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 t="s">
        <v>8</v>
      </c>
      <c r="DC182"/>
      <c r="DD182"/>
      <c r="DE182"/>
      <c r="DF182"/>
      <c r="DG182"/>
      <c r="DH182"/>
      <c r="DI182"/>
      <c r="DJ182"/>
      <c r="DK182"/>
      <c r="DL182"/>
      <c r="DM182"/>
      <c r="DN182"/>
      <c r="DO182"/>
    </row>
    <row r="183" spans="1:119" s="6" customFormat="1">
      <c r="A183" s="6" t="str">
        <f>HYPERLINK(".\links\pep\TI-545-pep.txt","TI-545")</f>
        <v>TI-545</v>
      </c>
      <c r="B183" s="6">
        <v>545</v>
      </c>
      <c r="C183" s="6" t="s">
        <v>11</v>
      </c>
      <c r="D183" s="6">
        <v>35</v>
      </c>
      <c r="E183" s="6">
        <v>0</v>
      </c>
      <c r="F183" s="6" t="str">
        <f>HYPERLINK(".\links\cds\TI-545-cds.txt","TI-545")</f>
        <v>TI-545</v>
      </c>
      <c r="G183" s="6">
        <v>108</v>
      </c>
      <c r="I183" s="6" t="s">
        <v>8</v>
      </c>
      <c r="J183" s="6" t="s">
        <v>6</v>
      </c>
      <c r="K183" s="6">
        <v>1</v>
      </c>
      <c r="L183" s="6">
        <v>1</v>
      </c>
      <c r="M183" s="6">
        <f t="shared" si="3"/>
        <v>0</v>
      </c>
      <c r="N183" s="6" t="s">
        <v>1170</v>
      </c>
      <c r="O183" s="6" t="s">
        <v>1171</v>
      </c>
      <c r="S183" s="6" t="s">
        <v>8</v>
      </c>
      <c r="AJ183" s="6" t="s">
        <v>8</v>
      </c>
      <c r="AX183" s="6" t="s">
        <v>8</v>
      </c>
      <c r="BK183" s="6" t="s">
        <v>8</v>
      </c>
      <c r="CB183" s="6" t="s">
        <v>8</v>
      </c>
      <c r="CE183" s="6" t="s">
        <v>8</v>
      </c>
      <c r="CH183" s="6" t="s">
        <v>8</v>
      </c>
      <c r="CJ183" s="6" t="s">
        <v>8</v>
      </c>
      <c r="CL183" s="6" t="s">
        <v>8</v>
      </c>
      <c r="CN183" s="6" t="s">
        <v>8</v>
      </c>
      <c r="DB183" s="6" t="s">
        <v>8</v>
      </c>
    </row>
    <row r="184" spans="1:119" s="6" customFormat="1">
      <c r="A184" t="str">
        <f>HYPERLINK(".\links\pep\TI-543-pep.txt","TI-543")</f>
        <v>TI-543</v>
      </c>
      <c r="B184">
        <v>543</v>
      </c>
      <c r="C184" t="s">
        <v>27</v>
      </c>
      <c r="D184">
        <v>80</v>
      </c>
      <c r="E184">
        <v>0</v>
      </c>
      <c r="F184" t="str">
        <f>HYPERLINK(".\links\cds\TI-543-cds.txt","TI-543")</f>
        <v>TI-543</v>
      </c>
      <c r="G184">
        <v>243</v>
      </c>
      <c r="H184"/>
      <c r="I184" t="s">
        <v>8</v>
      </c>
      <c r="J184" t="s">
        <v>6</v>
      </c>
      <c r="K184">
        <v>6</v>
      </c>
      <c r="L184">
        <v>1</v>
      </c>
      <c r="M184">
        <f t="shared" si="3"/>
        <v>5</v>
      </c>
      <c r="N184" t="s">
        <v>1349</v>
      </c>
      <c r="O184" t="s">
        <v>1178</v>
      </c>
      <c r="P184" t="str">
        <f>HYPERLINK(".\links\NR-LIGHT\TI-543-NR-LIGHT.txt","NR-LIGHT")</f>
        <v>NR-LIGHT</v>
      </c>
      <c r="Q184" s="3">
        <v>9.9999999999999995E-21</v>
      </c>
      <c r="R184">
        <v>24</v>
      </c>
      <c r="S184" t="str">
        <f>HYPERLINK(".\links\NR-LIGHT\TI-543-NR-LIGHT.txt","NADH dehydrogenase subunit 2")</f>
        <v>NADH dehydrogenase subunit 2</v>
      </c>
      <c r="T184" t="str">
        <f>HYPERLINK("http://www.ncbi.nlm.nih.gov/sutils/blink.cgi?pid=11182463","1E-020")</f>
        <v>1E-020</v>
      </c>
      <c r="U184" t="str">
        <f>HYPERLINK("http://www.ncbi.nlm.nih.gov/protein/11182463","gi|11182463")</f>
        <v>gi|11182463</v>
      </c>
      <c r="V184">
        <v>100</v>
      </c>
      <c r="W184">
        <v>79</v>
      </c>
      <c r="X184">
        <v>332</v>
      </c>
      <c r="Y184">
        <v>62</v>
      </c>
      <c r="Z184">
        <v>24</v>
      </c>
      <c r="AA184">
        <v>30</v>
      </c>
      <c r="AB184">
        <v>0</v>
      </c>
      <c r="AC184">
        <v>31</v>
      </c>
      <c r="AD184">
        <v>1</v>
      </c>
      <c r="AE184">
        <v>1</v>
      </c>
      <c r="AF184"/>
      <c r="AG184" t="s">
        <v>13</v>
      </c>
      <c r="AH184" t="s">
        <v>51</v>
      </c>
      <c r="AI184" t="s">
        <v>272</v>
      </c>
      <c r="AJ184" t="str">
        <f>HYPERLINK(".\links\SWISSP\TI-543-SWISSP.txt","NADH-ubiquinone oxidoreductase chain 2 OS=Hylobates lar GN=MT-ND2 PE=3 SV=1")</f>
        <v>NADH-ubiquinone oxidoreductase chain 2 OS=Hylobates lar GN=MT-ND2 PE=3 SV=1</v>
      </c>
      <c r="AK184" t="str">
        <f>HYPERLINK("http://www.uniprot.org/uniprot/Q95704","4E-006")</f>
        <v>4E-006</v>
      </c>
      <c r="AL184" t="s">
        <v>250</v>
      </c>
      <c r="AM184">
        <v>50.1</v>
      </c>
      <c r="AN184">
        <v>82</v>
      </c>
      <c r="AO184">
        <v>347</v>
      </c>
      <c r="AP184">
        <v>31</v>
      </c>
      <c r="AQ184">
        <v>24</v>
      </c>
      <c r="AR184">
        <v>57</v>
      </c>
      <c r="AS184">
        <v>3</v>
      </c>
      <c r="AT184">
        <v>31</v>
      </c>
      <c r="AU184">
        <v>1</v>
      </c>
      <c r="AV184">
        <v>1</v>
      </c>
      <c r="AW184" t="s">
        <v>251</v>
      </c>
      <c r="AX184" t="s">
        <v>8</v>
      </c>
      <c r="AY184"/>
      <c r="AZ184"/>
      <c r="BA184"/>
      <c r="BB184"/>
      <c r="BC184"/>
      <c r="BD184"/>
      <c r="BE184"/>
      <c r="BF184"/>
      <c r="BG184"/>
      <c r="BH184"/>
      <c r="BI184"/>
      <c r="BJ184"/>
      <c r="BK184" t="s">
        <v>950</v>
      </c>
      <c r="BL184">
        <f>HYPERLINK(".\links\GO\TI-543-GO.txt",0.00003)</f>
        <v>3.0000000000000001E-5</v>
      </c>
      <c r="BM184" t="s">
        <v>373</v>
      </c>
      <c r="BN184" t="s">
        <v>373</v>
      </c>
      <c r="BO184"/>
      <c r="BP184" t="s">
        <v>374</v>
      </c>
      <c r="BQ184">
        <v>5.0000000000000001E-4</v>
      </c>
      <c r="BR184" t="s">
        <v>608</v>
      </c>
      <c r="BS184" t="s">
        <v>323</v>
      </c>
      <c r="BT184" t="s">
        <v>334</v>
      </c>
      <c r="BU184" t="s">
        <v>609</v>
      </c>
      <c r="BV184">
        <v>5.0000000000000001E-4</v>
      </c>
      <c r="BW184" t="s">
        <v>951</v>
      </c>
      <c r="BX184" t="s">
        <v>373</v>
      </c>
      <c r="BY184"/>
      <c r="BZ184" t="s">
        <v>952</v>
      </c>
      <c r="CA184">
        <v>5.0000000000000001E-4</v>
      </c>
      <c r="CB184" t="s">
        <v>8</v>
      </c>
      <c r="CC184"/>
      <c r="CD184"/>
      <c r="CE184" t="s">
        <v>8</v>
      </c>
      <c r="CF184"/>
      <c r="CG184"/>
      <c r="CH184" t="s">
        <v>8</v>
      </c>
      <c r="CI184"/>
      <c r="CJ184" t="s">
        <v>8</v>
      </c>
      <c r="CK184"/>
      <c r="CL184" t="s">
        <v>8</v>
      </c>
      <c r="CM184"/>
      <c r="CN184" t="s">
        <v>8</v>
      </c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 t="s">
        <v>8</v>
      </c>
      <c r="DC184"/>
      <c r="DD184"/>
      <c r="DE184"/>
      <c r="DF184"/>
      <c r="DG184"/>
      <c r="DH184"/>
      <c r="DI184"/>
      <c r="DJ184"/>
      <c r="DK184"/>
      <c r="DL184"/>
      <c r="DM184"/>
      <c r="DN184"/>
      <c r="DO184"/>
    </row>
    <row r="185" spans="1:119" s="6" customFormat="1">
      <c r="A185" s="6" t="str">
        <f>HYPERLINK(".\links\pep\TI-540-pep.txt","TI-540")</f>
        <v>TI-540</v>
      </c>
      <c r="B185" s="6">
        <v>540</v>
      </c>
      <c r="C185" s="6" t="s">
        <v>15</v>
      </c>
      <c r="D185" s="6">
        <v>13</v>
      </c>
      <c r="E185" s="6">
        <v>0</v>
      </c>
      <c r="F185" s="6" t="str">
        <f>HYPERLINK(".\links\cds\TI-540-cds.txt","TI-540")</f>
        <v>TI-540</v>
      </c>
      <c r="G185" s="6">
        <v>42</v>
      </c>
      <c r="I185" s="6" t="s">
        <v>8</v>
      </c>
      <c r="J185" s="6" t="s">
        <v>6</v>
      </c>
      <c r="K185" s="6">
        <v>1</v>
      </c>
      <c r="L185" s="6">
        <v>0</v>
      </c>
      <c r="M185" s="6">
        <f t="shared" si="3"/>
        <v>1</v>
      </c>
      <c r="N185" s="6" t="s">
        <v>1170</v>
      </c>
      <c r="O185" s="6" t="s">
        <v>1171</v>
      </c>
      <c r="S185" s="6" t="s">
        <v>8</v>
      </c>
      <c r="AJ185" s="6" t="s">
        <v>8</v>
      </c>
      <c r="AX185" s="6" t="s">
        <v>8</v>
      </c>
      <c r="BK185" s="6" t="s">
        <v>8</v>
      </c>
      <c r="CB185" s="6" t="s">
        <v>8</v>
      </c>
      <c r="CE185" s="6" t="s">
        <v>8</v>
      </c>
      <c r="CH185" s="6" t="s">
        <v>8</v>
      </c>
      <c r="CJ185" s="6" t="s">
        <v>8</v>
      </c>
      <c r="CL185" s="6" t="s">
        <v>8</v>
      </c>
      <c r="CN185" s="6" t="s">
        <v>8</v>
      </c>
      <c r="DB185" s="6" t="s">
        <v>8</v>
      </c>
    </row>
    <row r="186" spans="1:119" s="6" customFormat="1">
      <c r="A186" s="6" t="str">
        <f>HYPERLINK(".\links\pep\TI-538-pep.txt","TI-538")</f>
        <v>TI-538</v>
      </c>
      <c r="B186" s="6">
        <v>538</v>
      </c>
      <c r="C186" s="6" t="s">
        <v>19</v>
      </c>
      <c r="D186" s="6">
        <v>57</v>
      </c>
      <c r="E186" s="6">
        <v>0</v>
      </c>
      <c r="F186" s="6" t="str">
        <f>HYPERLINK(".\links\cds\TI-538-cds.txt","TI-538")</f>
        <v>TI-538</v>
      </c>
      <c r="G186" s="6">
        <v>174</v>
      </c>
      <c r="I186" s="6" t="s">
        <v>8</v>
      </c>
      <c r="J186" s="6" t="s">
        <v>6</v>
      </c>
      <c r="K186" s="6">
        <v>17</v>
      </c>
      <c r="L186" s="6">
        <v>7</v>
      </c>
      <c r="M186" s="6">
        <f t="shared" si="3"/>
        <v>10</v>
      </c>
      <c r="N186" s="6" t="s">
        <v>1170</v>
      </c>
      <c r="O186" s="6" t="s">
        <v>1171</v>
      </c>
      <c r="S186" s="6" t="s">
        <v>8</v>
      </c>
      <c r="AJ186" s="6" t="s">
        <v>8</v>
      </c>
      <c r="AX186" s="6" t="s">
        <v>8</v>
      </c>
      <c r="BK186" s="6" t="s">
        <v>8</v>
      </c>
      <c r="CB186" s="6" t="s">
        <v>8</v>
      </c>
      <c r="CE186" s="6" t="s">
        <v>8</v>
      </c>
      <c r="CH186" s="6" t="s">
        <v>8</v>
      </c>
      <c r="CJ186" s="6" t="s">
        <v>8</v>
      </c>
      <c r="CL186" s="6" t="s">
        <v>8</v>
      </c>
      <c r="CN186" s="6" t="s">
        <v>8</v>
      </c>
      <c r="DB186" s="6" t="s">
        <v>8</v>
      </c>
    </row>
    <row r="187" spans="1:119" s="6" customFormat="1">
      <c r="A187" t="str">
        <f>HYPERLINK(".\links\pep\TI-536-pep.txt","TI-536")</f>
        <v>TI-536</v>
      </c>
      <c r="B187">
        <v>536</v>
      </c>
      <c r="C187" t="s">
        <v>12</v>
      </c>
      <c r="D187">
        <v>137</v>
      </c>
      <c r="E187">
        <v>0</v>
      </c>
      <c r="F187" t="str">
        <f>HYPERLINK(".\links\cds\TI-536-cds.txt","TI-536")</f>
        <v>TI-536</v>
      </c>
      <c r="G187">
        <v>414</v>
      </c>
      <c r="H187"/>
      <c r="I187" t="s">
        <v>8</v>
      </c>
      <c r="J187" t="s">
        <v>6</v>
      </c>
      <c r="K187">
        <v>3</v>
      </c>
      <c r="L187">
        <v>1</v>
      </c>
      <c r="M187">
        <f t="shared" si="3"/>
        <v>2</v>
      </c>
      <c r="N187" t="s">
        <v>1239</v>
      </c>
      <c r="O187" t="s">
        <v>1178</v>
      </c>
      <c r="P187" t="str">
        <f>HYPERLINK(".\links\NR-LIGHT\TI-536-NR-LIGHT.txt","NR-LIGHT")</f>
        <v>NR-LIGHT</v>
      </c>
      <c r="Q187" s="3">
        <v>9.9999999999999997E-29</v>
      </c>
      <c r="R187">
        <v>50.3</v>
      </c>
      <c r="S187" t="str">
        <f>HYPERLINK(".\links\NR-LIGHT\TI-536-NR-LIGHT.txt","similar to CG41536 CG41536-PA")</f>
        <v>similar to CG41536 CG41536-PA</v>
      </c>
      <c r="T187" t="str">
        <f>HYPERLINK("http://www.ncbi.nlm.nih.gov/sutils/blink.cgi?pid=189242281","1E-028")</f>
        <v>1E-028</v>
      </c>
      <c r="U187" t="str">
        <f>HYPERLINK("http://www.ncbi.nlm.nih.gov/protein/189242281","gi|189242281")</f>
        <v>gi|189242281</v>
      </c>
      <c r="V187">
        <v>127</v>
      </c>
      <c r="W187">
        <v>78</v>
      </c>
      <c r="X187">
        <v>159</v>
      </c>
      <c r="Y187">
        <v>77</v>
      </c>
      <c r="Z187">
        <v>50</v>
      </c>
      <c r="AA187">
        <v>18</v>
      </c>
      <c r="AB187">
        <v>1</v>
      </c>
      <c r="AC187">
        <v>79</v>
      </c>
      <c r="AD187">
        <v>5</v>
      </c>
      <c r="AE187">
        <v>1</v>
      </c>
      <c r="AF187"/>
      <c r="AG187" t="s">
        <v>13</v>
      </c>
      <c r="AH187" t="s">
        <v>51</v>
      </c>
      <c r="AI187" t="s">
        <v>266</v>
      </c>
      <c r="AJ187" t="str">
        <f>HYPERLINK(".\links\SWISSP\TI-536-SWISSP.txt","Putative uncharacterized protein ART2 OS=Saccharomyces cerevisiae (strain ATCC")</f>
        <v>Putative uncharacterized protein ART2 OS=Saccharomyces cerevisiae (strain ATCC</v>
      </c>
      <c r="AK187" t="str">
        <f>HYPERLINK("http://www.uniprot.org/uniprot/Q8TGM7","7E-010")</f>
        <v>7E-010</v>
      </c>
      <c r="AL187" t="s">
        <v>249</v>
      </c>
      <c r="AM187">
        <v>62.4</v>
      </c>
      <c r="AN187">
        <v>52</v>
      </c>
      <c r="AO187">
        <v>61</v>
      </c>
      <c r="AP187">
        <v>58</v>
      </c>
      <c r="AQ187">
        <v>87</v>
      </c>
      <c r="AR187">
        <v>22</v>
      </c>
      <c r="AS187">
        <v>0</v>
      </c>
      <c r="AT187">
        <v>6</v>
      </c>
      <c r="AU187">
        <v>19</v>
      </c>
      <c r="AV187">
        <v>1</v>
      </c>
      <c r="AW187" t="s">
        <v>148</v>
      </c>
      <c r="AX187" t="s">
        <v>8</v>
      </c>
      <c r="AY187"/>
      <c r="AZ187"/>
      <c r="BA187"/>
      <c r="BB187"/>
      <c r="BC187"/>
      <c r="BD187"/>
      <c r="BE187"/>
      <c r="BF187"/>
      <c r="BG187"/>
      <c r="BH187"/>
      <c r="BI187"/>
      <c r="BJ187"/>
      <c r="BK187" t="s">
        <v>949</v>
      </c>
      <c r="BL187">
        <f>HYPERLINK(".\links\GO\TI-536-GO.txt",0.00000005)</f>
        <v>4.9999999999999998E-8</v>
      </c>
      <c r="BM187" t="s">
        <v>373</v>
      </c>
      <c r="BN187" t="s">
        <v>373</v>
      </c>
      <c r="BO187"/>
      <c r="BP187" t="s">
        <v>374</v>
      </c>
      <c r="BQ187">
        <v>4.9999999999999998E-8</v>
      </c>
      <c r="BR187" t="s">
        <v>375</v>
      </c>
      <c r="BS187" t="s">
        <v>375</v>
      </c>
      <c r="BT187"/>
      <c r="BU187" t="s">
        <v>376</v>
      </c>
      <c r="BV187">
        <v>4.9999999999999998E-8</v>
      </c>
      <c r="BW187" t="s">
        <v>380</v>
      </c>
      <c r="BX187" t="s">
        <v>373</v>
      </c>
      <c r="BY187"/>
      <c r="BZ187" t="s">
        <v>381</v>
      </c>
      <c r="CA187">
        <v>4.9999999999999998E-8</v>
      </c>
      <c r="CB187" t="s">
        <v>8</v>
      </c>
      <c r="CC187"/>
      <c r="CD187"/>
      <c r="CE187" t="s">
        <v>8</v>
      </c>
      <c r="CF187"/>
      <c r="CG187"/>
      <c r="CH187" t="s">
        <v>8</v>
      </c>
      <c r="CI187"/>
      <c r="CJ187" t="s">
        <v>8</v>
      </c>
      <c r="CK187"/>
      <c r="CL187" t="s">
        <v>8</v>
      </c>
      <c r="CM187"/>
      <c r="CN187" t="s">
        <v>8</v>
      </c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 t="str">
        <f>HYPERLINK(".\links\RRNA\TI-536-RRNA.txt","Drosophila persimilis ribosomal RNA (Dper\28SrRNA:GL28069), rRNA")</f>
        <v>Drosophila persimilis ribosomal RNA (Dper\28SrRNA:GL28069), rRNA</v>
      </c>
      <c r="DC187" t="str">
        <f>HYPERLINK("http://www.ncbi.nlm.nih.gov/entrez/viewer.fcgi?db=nucleotide&amp;val=195176023","5E-040")</f>
        <v>5E-040</v>
      </c>
      <c r="DD187" t="str">
        <f>HYPERLINK("http://www.ncbi.nlm.nih.gov/entrez/viewer.fcgi?db=nucleotide&amp;val=195176023","gi|195176023")</f>
        <v>gi|195176023</v>
      </c>
      <c r="DE187">
        <v>163</v>
      </c>
      <c r="DF187">
        <v>205</v>
      </c>
      <c r="DG187">
        <v>3969</v>
      </c>
      <c r="DH187">
        <v>84</v>
      </c>
      <c r="DI187">
        <v>5</v>
      </c>
      <c r="DJ187">
        <v>31</v>
      </c>
      <c r="DK187">
        <v>0</v>
      </c>
      <c r="DL187">
        <v>3110</v>
      </c>
      <c r="DM187">
        <v>1</v>
      </c>
      <c r="DN187">
        <v>1</v>
      </c>
      <c r="DO187" t="s">
        <v>981</v>
      </c>
    </row>
    <row r="188" spans="1:119" s="6" customFormat="1">
      <c r="A188" s="6" t="str">
        <f>HYPERLINK(".\links\pep\TI-533-pep.txt","TI-533")</f>
        <v>TI-533</v>
      </c>
      <c r="B188" s="6">
        <v>533</v>
      </c>
      <c r="C188" s="6" t="s">
        <v>24</v>
      </c>
      <c r="D188" s="6">
        <v>36</v>
      </c>
      <c r="E188" s="6">
        <v>0</v>
      </c>
      <c r="F188" s="6" t="str">
        <f>HYPERLINK(".\links\cds\TI-533-cds.txt","TI-533")</f>
        <v>TI-533</v>
      </c>
      <c r="G188" s="6">
        <v>111</v>
      </c>
      <c r="I188" s="6" t="s">
        <v>8</v>
      </c>
      <c r="J188" s="6" t="s">
        <v>6</v>
      </c>
      <c r="K188" s="6">
        <v>1</v>
      </c>
      <c r="L188" s="6">
        <v>0</v>
      </c>
      <c r="M188" s="6">
        <f t="shared" si="3"/>
        <v>1</v>
      </c>
      <c r="N188" s="6" t="s">
        <v>1170</v>
      </c>
      <c r="O188" s="6" t="s">
        <v>1171</v>
      </c>
      <c r="S188" s="6" t="s">
        <v>8</v>
      </c>
      <c r="AJ188" s="6" t="s">
        <v>8</v>
      </c>
      <c r="AX188" s="6" t="s">
        <v>8</v>
      </c>
      <c r="BK188" s="6" t="s">
        <v>8</v>
      </c>
      <c r="CB188" s="6" t="s">
        <v>8</v>
      </c>
      <c r="CE188" s="6" t="s">
        <v>8</v>
      </c>
      <c r="CH188" s="6" t="s">
        <v>8</v>
      </c>
      <c r="CJ188" s="6" t="s">
        <v>8</v>
      </c>
      <c r="CL188" s="6" t="s">
        <v>8</v>
      </c>
      <c r="CN188" s="6" t="s">
        <v>8</v>
      </c>
      <c r="DB188" s="6" t="s">
        <v>8</v>
      </c>
    </row>
    <row r="189" spans="1:119" s="6" customFormat="1">
      <c r="A189" s="6" t="str">
        <f>HYPERLINK(".\links\pep\TI-531-pep.txt","TI-531")</f>
        <v>TI-531</v>
      </c>
      <c r="B189" s="6">
        <v>531</v>
      </c>
      <c r="C189" s="6" t="s">
        <v>26</v>
      </c>
      <c r="D189" s="6">
        <v>255</v>
      </c>
      <c r="E189" s="6">
        <v>0</v>
      </c>
      <c r="F189" s="6" t="str">
        <f>HYPERLINK(".\links\cds\TI-531-cds.txt","TI-531")</f>
        <v>TI-531</v>
      </c>
      <c r="G189" s="6">
        <v>768</v>
      </c>
      <c r="I189" s="6" t="s">
        <v>8</v>
      </c>
      <c r="J189" s="6" t="s">
        <v>6</v>
      </c>
      <c r="K189" s="6">
        <v>3</v>
      </c>
      <c r="L189" s="6">
        <v>3</v>
      </c>
      <c r="M189" s="6">
        <f t="shared" si="3"/>
        <v>0</v>
      </c>
      <c r="N189" s="6" t="s">
        <v>1170</v>
      </c>
      <c r="O189" s="6" t="s">
        <v>1171</v>
      </c>
      <c r="S189" s="6" t="str">
        <f>HYPERLINK(".\links\NR-LIGHT\TI-531-NR-LIGHT.txt","hypothetical protein DAPPUDRAFT_308200")</f>
        <v>hypothetical protein DAPPUDRAFT_308200</v>
      </c>
      <c r="T189" s="6" t="str">
        <f>HYPERLINK("http://www.ncbi.nlm.nih.gov/sutils/blink.cgi?pid=321461569","2E-005")</f>
        <v>2E-005</v>
      </c>
      <c r="U189" s="6" t="str">
        <f>HYPERLINK("http://www.ncbi.nlm.nih.gov/protein/321461569","gi|321461569")</f>
        <v>gi|321461569</v>
      </c>
      <c r="V189" s="6">
        <v>51.6</v>
      </c>
      <c r="W189" s="6">
        <v>114</v>
      </c>
      <c r="X189" s="6">
        <v>450</v>
      </c>
      <c r="Y189" s="6">
        <v>26</v>
      </c>
      <c r="Z189" s="6">
        <v>26</v>
      </c>
      <c r="AA189" s="6">
        <v>84</v>
      </c>
      <c r="AB189" s="6">
        <v>7</v>
      </c>
      <c r="AC189" s="6">
        <v>37</v>
      </c>
      <c r="AD189" s="6">
        <v>36</v>
      </c>
      <c r="AE189" s="6">
        <v>1</v>
      </c>
      <c r="AG189" s="6" t="s">
        <v>13</v>
      </c>
      <c r="AH189" s="6" t="s">
        <v>51</v>
      </c>
      <c r="AI189" s="6" t="s">
        <v>270</v>
      </c>
      <c r="AJ189" s="6" t="s">
        <v>8</v>
      </c>
      <c r="AX189" s="6" t="str">
        <f>HYPERLINK(".\links\PREV-RHOD-PEP\TI-531-PREV-RHOD-PEP.txt","Contig17963_39")</f>
        <v>Contig17963_39</v>
      </c>
      <c r="AY189" s="8">
        <v>2E-55</v>
      </c>
      <c r="AZ189" s="6" t="s">
        <v>1155</v>
      </c>
      <c r="BA189" s="6">
        <v>211</v>
      </c>
      <c r="BB189" s="6">
        <v>133</v>
      </c>
      <c r="BC189" s="6">
        <v>225</v>
      </c>
      <c r="BD189" s="6">
        <v>74</v>
      </c>
      <c r="BE189" s="6">
        <v>60</v>
      </c>
      <c r="BF189" s="6">
        <v>35</v>
      </c>
      <c r="BG189" s="6">
        <v>1</v>
      </c>
      <c r="BH189" s="6">
        <v>1</v>
      </c>
      <c r="BI189" s="6">
        <v>6</v>
      </c>
      <c r="BJ189" s="6">
        <v>1</v>
      </c>
      <c r="BK189" s="6" t="s">
        <v>8</v>
      </c>
      <c r="CB189" s="6" t="s">
        <v>8</v>
      </c>
      <c r="CE189" s="6" t="s">
        <v>8</v>
      </c>
      <c r="CH189" s="6" t="s">
        <v>8</v>
      </c>
      <c r="CJ189" s="6" t="s">
        <v>8</v>
      </c>
      <c r="CL189" s="6" t="s">
        <v>8</v>
      </c>
      <c r="CN189" s="6" t="s">
        <v>8</v>
      </c>
      <c r="DB189" s="6" t="s">
        <v>8</v>
      </c>
    </row>
    <row r="190" spans="1:119" s="6" customFormat="1">
      <c r="A190" s="6" t="str">
        <f>HYPERLINK(".\links\pep\TI-530-pep.txt","TI-530")</f>
        <v>TI-530</v>
      </c>
      <c r="B190" s="6">
        <v>530</v>
      </c>
      <c r="C190" s="6" t="s">
        <v>7</v>
      </c>
      <c r="D190" s="6">
        <v>240</v>
      </c>
      <c r="E190" s="6">
        <v>0</v>
      </c>
      <c r="F190" s="6" t="str">
        <f>HYPERLINK(".\links\cds\TI-530-cds.txt","TI-530")</f>
        <v>TI-530</v>
      </c>
      <c r="G190" s="6">
        <v>723</v>
      </c>
      <c r="I190" s="6" t="s">
        <v>29</v>
      </c>
      <c r="J190" s="6" t="s">
        <v>6</v>
      </c>
      <c r="K190" s="6">
        <v>4</v>
      </c>
      <c r="L190" s="6">
        <v>1</v>
      </c>
      <c r="M190" s="6">
        <f t="shared" si="3"/>
        <v>3</v>
      </c>
      <c r="N190" s="6" t="s">
        <v>1170</v>
      </c>
      <c r="O190" s="6" t="s">
        <v>1171</v>
      </c>
      <c r="S190" s="6" t="str">
        <f>HYPERLINK(".\links\NR-LIGHT\TI-530-NR-LIGHT.txt","similar to CG14661 CG14661-PA")</f>
        <v>similar to CG14661 CG14661-PA</v>
      </c>
      <c r="T190" s="6" t="str">
        <f>HYPERLINK("http://www.ncbi.nlm.nih.gov/sutils/blink.cgi?pid=91082781","0.003")</f>
        <v>0.003</v>
      </c>
      <c r="U190" s="6" t="str">
        <f>HYPERLINK("http://www.ncbi.nlm.nih.gov/protein/91082781","gi|91082781")</f>
        <v>gi|91082781</v>
      </c>
      <c r="V190" s="6">
        <v>44.7</v>
      </c>
      <c r="W190" s="6">
        <v>209</v>
      </c>
      <c r="X190" s="6">
        <v>249</v>
      </c>
      <c r="Y190" s="6">
        <v>21</v>
      </c>
      <c r="Z190" s="6">
        <v>84</v>
      </c>
      <c r="AA190" s="6">
        <v>168</v>
      </c>
      <c r="AB190" s="6">
        <v>13</v>
      </c>
      <c r="AC190" s="6">
        <v>37</v>
      </c>
      <c r="AD190" s="6">
        <v>35</v>
      </c>
      <c r="AE190" s="6">
        <v>1</v>
      </c>
      <c r="AG190" s="6" t="s">
        <v>13</v>
      </c>
      <c r="AH190" s="6" t="s">
        <v>51</v>
      </c>
      <c r="AI190" s="6" t="s">
        <v>266</v>
      </c>
      <c r="AJ190" s="6" t="s">
        <v>8</v>
      </c>
      <c r="AX190" s="6" t="str">
        <f>HYPERLINK(".\links\PREV-RHOD-PEP\TI-530-PREV-RHOD-PEP.txt","Contig17963_39")</f>
        <v>Contig17963_39</v>
      </c>
      <c r="AY190" s="8">
        <v>4.0000000000000002E-56</v>
      </c>
      <c r="AZ190" s="6" t="s">
        <v>1155</v>
      </c>
      <c r="BA190" s="6">
        <v>213</v>
      </c>
      <c r="BB190" s="6">
        <v>133</v>
      </c>
      <c r="BC190" s="6">
        <v>225</v>
      </c>
      <c r="BD190" s="6">
        <v>74</v>
      </c>
      <c r="BE190" s="6">
        <v>60</v>
      </c>
      <c r="BF190" s="6">
        <v>34</v>
      </c>
      <c r="BG190" s="6">
        <v>1</v>
      </c>
      <c r="BH190" s="6">
        <v>1</v>
      </c>
      <c r="BI190" s="6">
        <v>1</v>
      </c>
      <c r="BJ190" s="6">
        <v>1</v>
      </c>
      <c r="BK190" s="6" t="s">
        <v>8</v>
      </c>
      <c r="CB190" s="6" t="s">
        <v>8</v>
      </c>
      <c r="CE190" s="6" t="s">
        <v>8</v>
      </c>
      <c r="CH190" s="6" t="s">
        <v>8</v>
      </c>
      <c r="CJ190" s="6" t="s">
        <v>8</v>
      </c>
      <c r="CL190" s="6" t="s">
        <v>8</v>
      </c>
      <c r="CN190" s="6" t="s">
        <v>8</v>
      </c>
      <c r="DB190" s="6" t="s">
        <v>8</v>
      </c>
    </row>
    <row r="191" spans="1:119" s="6" customFormat="1">
      <c r="A191" t="str">
        <f>HYPERLINK(".\links\pep\TI-53-pep.txt","TI-53")</f>
        <v>TI-53</v>
      </c>
      <c r="B191">
        <v>53</v>
      </c>
      <c r="C191" t="s">
        <v>16</v>
      </c>
      <c r="D191">
        <v>100</v>
      </c>
      <c r="E191">
        <v>0</v>
      </c>
      <c r="F191" t="str">
        <f>HYPERLINK(".\links\cds\TI-53-cds.txt","TI-53")</f>
        <v>TI-53</v>
      </c>
      <c r="G191">
        <v>303</v>
      </c>
      <c r="H191"/>
      <c r="I191" t="s">
        <v>8</v>
      </c>
      <c r="J191" t="s">
        <v>6</v>
      </c>
      <c r="K191">
        <v>1</v>
      </c>
      <c r="L191">
        <v>0</v>
      </c>
      <c r="M191">
        <f t="shared" si="3"/>
        <v>1</v>
      </c>
      <c r="N191" t="s">
        <v>1259</v>
      </c>
      <c r="O191" t="s">
        <v>1178</v>
      </c>
      <c r="P191" t="str">
        <f>HYPERLINK(".\links\GO\TI-53-GO.txt","GO")</f>
        <v>GO</v>
      </c>
      <c r="Q191" s="3">
        <v>9.9999999999999994E-30</v>
      </c>
      <c r="R191">
        <v>17.600000000000001</v>
      </c>
      <c r="S191" t="str">
        <f>HYPERLINK(".\links\NR-LIGHT\TI-53-NR-LIGHT.txt","CG7920")</f>
        <v>CG7920</v>
      </c>
      <c r="T191" t="str">
        <f>HYPERLINK("http://www.ncbi.nlm.nih.gov/sutils/blink.cgi?pid=21358615","3E-028")</f>
        <v>3E-028</v>
      </c>
      <c r="U191" t="str">
        <f>HYPERLINK("http://www.ncbi.nlm.nih.gov/protein/21358615","gi|21358615")</f>
        <v>gi|21358615</v>
      </c>
      <c r="V191">
        <v>125</v>
      </c>
      <c r="W191">
        <v>83</v>
      </c>
      <c r="X191">
        <v>477</v>
      </c>
      <c r="Y191">
        <v>67</v>
      </c>
      <c r="Z191">
        <v>18</v>
      </c>
      <c r="AA191">
        <v>27</v>
      </c>
      <c r="AB191">
        <v>0</v>
      </c>
      <c r="AC191">
        <v>114</v>
      </c>
      <c r="AD191">
        <v>4</v>
      </c>
      <c r="AE191">
        <v>1</v>
      </c>
      <c r="AF191"/>
      <c r="AG191" t="s">
        <v>13</v>
      </c>
      <c r="AH191" t="s">
        <v>51</v>
      </c>
      <c r="AI191" t="s">
        <v>277</v>
      </c>
      <c r="AJ191" t="str">
        <f>HYPERLINK(".\links\SWISSP\TI-53-SWISSP.txt","4-hydroxybutyrate coenzyme A transferase OS=Clostridium kluyveri (strain ATCC")</f>
        <v>4-hydroxybutyrate coenzyme A transferase OS=Clostridium kluyveri (strain ATCC</v>
      </c>
      <c r="AK191" t="str">
        <f>HYPERLINK("http://www.uniprot.org/uniprot/P38942","2E-013")</f>
        <v>2E-013</v>
      </c>
      <c r="AL191" t="s">
        <v>123</v>
      </c>
      <c r="AM191">
        <v>74.7</v>
      </c>
      <c r="AN191">
        <v>85</v>
      </c>
      <c r="AO191">
        <v>429</v>
      </c>
      <c r="AP191">
        <v>40</v>
      </c>
      <c r="AQ191">
        <v>20</v>
      </c>
      <c r="AR191">
        <v>51</v>
      </c>
      <c r="AS191">
        <v>0</v>
      </c>
      <c r="AT191">
        <v>72</v>
      </c>
      <c r="AU191">
        <v>1</v>
      </c>
      <c r="AV191">
        <v>1</v>
      </c>
      <c r="AW191" t="s">
        <v>124</v>
      </c>
      <c r="AX191" t="str">
        <f>HYPERLINK(".\links\PREV-RHOD-PEP\TI-53-PREV-RHOD-PEP.txt","Contig17215_4")</f>
        <v>Contig17215_4</v>
      </c>
      <c r="AY191" s="3">
        <v>3.9999999999999998E-38</v>
      </c>
      <c r="AZ191" t="s">
        <v>1039</v>
      </c>
      <c r="BA191">
        <v>152</v>
      </c>
      <c r="BB191">
        <v>96</v>
      </c>
      <c r="BC191">
        <v>554</v>
      </c>
      <c r="BD191">
        <v>76</v>
      </c>
      <c r="BE191">
        <v>18</v>
      </c>
      <c r="BF191">
        <v>23</v>
      </c>
      <c r="BG191">
        <v>1</v>
      </c>
      <c r="BH191">
        <v>190</v>
      </c>
      <c r="BI191">
        <v>3</v>
      </c>
      <c r="BJ191">
        <v>1</v>
      </c>
      <c r="BK191" t="s">
        <v>561</v>
      </c>
      <c r="BL191">
        <f>HYPERLINK(".\links\GO\TI-53-GO.txt",1E-29)</f>
        <v>9.9999999999999994E-30</v>
      </c>
      <c r="BM191" t="s">
        <v>562</v>
      </c>
      <c r="BN191" t="s">
        <v>345</v>
      </c>
      <c r="BO191" t="s">
        <v>346</v>
      </c>
      <c r="BP191" t="s">
        <v>563</v>
      </c>
      <c r="BQ191">
        <v>3.9999999999999998E-7</v>
      </c>
      <c r="BR191" t="s">
        <v>8</v>
      </c>
      <c r="BS191" t="s">
        <v>8</v>
      </c>
      <c r="BT191" t="s">
        <v>8</v>
      </c>
      <c r="BU191" t="s">
        <v>8</v>
      </c>
      <c r="BV191" t="s">
        <v>8</v>
      </c>
      <c r="BW191" t="s">
        <v>564</v>
      </c>
      <c r="BX191" t="s">
        <v>345</v>
      </c>
      <c r="BY191" t="s">
        <v>346</v>
      </c>
      <c r="BZ191" t="s">
        <v>565</v>
      </c>
      <c r="CA191">
        <v>3.9999999999999998E-7</v>
      </c>
      <c r="CB191" t="s">
        <v>8</v>
      </c>
      <c r="CC191"/>
      <c r="CD191"/>
      <c r="CE191" t="s">
        <v>8</v>
      </c>
      <c r="CF191"/>
      <c r="CG191"/>
      <c r="CH191" t="s">
        <v>8</v>
      </c>
      <c r="CI191"/>
      <c r="CJ191" t="s">
        <v>8</v>
      </c>
      <c r="CK191"/>
      <c r="CL191" t="s">
        <v>8</v>
      </c>
      <c r="CM191"/>
      <c r="CN191" t="s">
        <v>8</v>
      </c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 t="s">
        <v>8</v>
      </c>
      <c r="DC191"/>
      <c r="DD191"/>
      <c r="DE191"/>
      <c r="DF191"/>
      <c r="DG191"/>
      <c r="DH191"/>
      <c r="DI191"/>
      <c r="DJ191"/>
      <c r="DK191"/>
      <c r="DL191"/>
      <c r="DM191"/>
      <c r="DN191"/>
      <c r="DO191"/>
    </row>
    <row r="192" spans="1:119" s="6" customFormat="1">
      <c r="A192" s="6" t="str">
        <f>HYPERLINK(".\links\pep\TI-528-pep.txt","TI-528")</f>
        <v>TI-528</v>
      </c>
      <c r="B192" s="6">
        <v>528</v>
      </c>
      <c r="C192" s="6" t="s">
        <v>13</v>
      </c>
      <c r="D192" s="6">
        <v>45</v>
      </c>
      <c r="E192" s="6">
        <v>0</v>
      </c>
      <c r="F192" s="6" t="str">
        <f>HYPERLINK(".\links\cds\TI-528-cds.txt","TI-528")</f>
        <v>TI-528</v>
      </c>
      <c r="G192" s="6">
        <v>138</v>
      </c>
      <c r="I192" s="6" t="s">
        <v>8</v>
      </c>
      <c r="J192" s="6" t="s">
        <v>6</v>
      </c>
      <c r="K192" s="6">
        <v>1</v>
      </c>
      <c r="L192" s="6">
        <v>0</v>
      </c>
      <c r="M192" s="6">
        <f t="shared" si="3"/>
        <v>1</v>
      </c>
      <c r="N192" s="6" t="s">
        <v>1170</v>
      </c>
      <c r="O192" s="6" t="s">
        <v>1171</v>
      </c>
      <c r="S192" s="6" t="s">
        <v>8</v>
      </c>
      <c r="AJ192" s="6" t="s">
        <v>8</v>
      </c>
      <c r="AX192" s="6" t="s">
        <v>8</v>
      </c>
      <c r="BK192" s="6" t="s">
        <v>8</v>
      </c>
      <c r="CB192" s="6" t="s">
        <v>8</v>
      </c>
      <c r="CE192" s="6" t="s">
        <v>8</v>
      </c>
      <c r="CH192" s="6" t="s">
        <v>8</v>
      </c>
      <c r="CJ192" s="6" t="s">
        <v>8</v>
      </c>
      <c r="CL192" s="6" t="s">
        <v>8</v>
      </c>
      <c r="CN192" s="6" t="s">
        <v>8</v>
      </c>
      <c r="DB192" s="6" t="s">
        <v>8</v>
      </c>
    </row>
    <row r="193" spans="1:119" s="6" customFormat="1">
      <c r="A193" t="str">
        <f>HYPERLINK(".\links\pep\TI-526-pep.txt","TI-526")</f>
        <v>TI-526</v>
      </c>
      <c r="B193">
        <v>526</v>
      </c>
      <c r="C193" t="s">
        <v>9</v>
      </c>
      <c r="D193">
        <v>196</v>
      </c>
      <c r="E193">
        <v>0</v>
      </c>
      <c r="F193" t="str">
        <f>HYPERLINK(".\links\cds\TI-526-cds.txt","TI-526")</f>
        <v>TI-526</v>
      </c>
      <c r="G193">
        <v>591</v>
      </c>
      <c r="H193"/>
      <c r="I193" t="s">
        <v>8</v>
      </c>
      <c r="J193" t="s">
        <v>6</v>
      </c>
      <c r="K193">
        <v>15</v>
      </c>
      <c r="L193">
        <v>12</v>
      </c>
      <c r="M193">
        <f t="shared" si="3"/>
        <v>3</v>
      </c>
      <c r="N193" t="s">
        <v>1227</v>
      </c>
      <c r="O193" t="s">
        <v>1196</v>
      </c>
      <c r="P193" t="str">
        <f>HYPERLINK(".\links\NR-LIGHT\TI-526-NR-LIGHT.txt","NR-LIGHT")</f>
        <v>NR-LIGHT</v>
      </c>
      <c r="Q193">
        <v>0</v>
      </c>
      <c r="R193">
        <v>22.5</v>
      </c>
      <c r="S193" t="str">
        <f>HYPERLINK(".\links\NR-LIGHT\TI-526-NR-LIGHT.txt","capsid protein precursor")</f>
        <v>capsid protein precursor</v>
      </c>
      <c r="T193" t="str">
        <f>HYPERLINK("http://www.ncbi.nlm.nih.gov/sutils/blink.cgi?pid=20451030","1E-109")</f>
        <v>1E-109</v>
      </c>
      <c r="U193" t="str">
        <f>HYPERLINK("http://www.ncbi.nlm.nih.gov/protein/20451030","gi|20451030")</f>
        <v>gi|20451030</v>
      </c>
      <c r="V193">
        <v>397</v>
      </c>
      <c r="W193">
        <v>195</v>
      </c>
      <c r="X193">
        <v>868</v>
      </c>
      <c r="Y193">
        <v>99</v>
      </c>
      <c r="Z193">
        <v>23</v>
      </c>
      <c r="AA193">
        <v>1</v>
      </c>
      <c r="AB193">
        <v>0</v>
      </c>
      <c r="AC193">
        <v>673</v>
      </c>
      <c r="AD193">
        <v>1</v>
      </c>
      <c r="AE193">
        <v>1</v>
      </c>
      <c r="AF193"/>
      <c r="AG193" t="s">
        <v>13</v>
      </c>
      <c r="AH193" t="s">
        <v>51</v>
      </c>
      <c r="AI193" t="s">
        <v>269</v>
      </c>
      <c r="AJ193" t="str">
        <f>HYPERLINK(".\links\SWISSP\TI-526-SWISSP.txt","Undecaprenyl-diphosphatase OS=Synechococcus sp. (strain CC9311) GN=uppP PE=3")</f>
        <v>Undecaprenyl-diphosphatase OS=Synechococcus sp. (strain CC9311) GN=uppP PE=3</v>
      </c>
      <c r="AK193" t="str">
        <f>HYPERLINK("http://www.uniprot.org/uniprot/Q0I740","0.006")</f>
        <v>0.006</v>
      </c>
      <c r="AL193" t="s">
        <v>245</v>
      </c>
      <c r="AM193">
        <v>40.799999999999997</v>
      </c>
      <c r="AN193">
        <v>91</v>
      </c>
      <c r="AO193">
        <v>283</v>
      </c>
      <c r="AP193">
        <v>31</v>
      </c>
      <c r="AQ193">
        <v>33</v>
      </c>
      <c r="AR193">
        <v>63</v>
      </c>
      <c r="AS193">
        <v>2</v>
      </c>
      <c r="AT193">
        <v>142</v>
      </c>
      <c r="AU193">
        <v>94</v>
      </c>
      <c r="AV193">
        <v>1</v>
      </c>
      <c r="AW193" t="s">
        <v>246</v>
      </c>
      <c r="AX193" t="s">
        <v>8</v>
      </c>
      <c r="AY193"/>
      <c r="AZ193"/>
      <c r="BA193"/>
      <c r="BB193"/>
      <c r="BC193"/>
      <c r="BD193"/>
      <c r="BE193"/>
      <c r="BF193"/>
      <c r="BG193"/>
      <c r="BH193"/>
      <c r="BI193"/>
      <c r="BJ193"/>
      <c r="BK193" t="s">
        <v>8</v>
      </c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 t="s">
        <v>8</v>
      </c>
      <c r="CC193"/>
      <c r="CD193"/>
      <c r="CE193" t="s">
        <v>8</v>
      </c>
      <c r="CF193"/>
      <c r="CG193"/>
      <c r="CH193" t="s">
        <v>8</v>
      </c>
      <c r="CI193"/>
      <c r="CJ193" t="s">
        <v>8</v>
      </c>
      <c r="CK193"/>
      <c r="CL193" t="s">
        <v>8</v>
      </c>
      <c r="CM193"/>
      <c r="CN193" t="s">
        <v>8</v>
      </c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 t="s">
        <v>8</v>
      </c>
      <c r="DC193"/>
      <c r="DD193"/>
      <c r="DE193"/>
      <c r="DF193"/>
      <c r="DG193"/>
      <c r="DH193"/>
      <c r="DI193"/>
      <c r="DJ193"/>
      <c r="DK193"/>
      <c r="DL193"/>
      <c r="DM193"/>
      <c r="DN193"/>
      <c r="DO193"/>
    </row>
    <row r="194" spans="1:119" s="6" customFormat="1">
      <c r="A194" s="6" t="str">
        <f>HYPERLINK(".\links\pep\TI-522-pep.txt","TI-522")</f>
        <v>TI-522</v>
      </c>
      <c r="B194" s="6">
        <v>522</v>
      </c>
      <c r="C194" s="6" t="s">
        <v>10</v>
      </c>
      <c r="D194" s="6">
        <v>53</v>
      </c>
      <c r="E194" s="6">
        <v>0</v>
      </c>
      <c r="F194" s="6" t="str">
        <f>HYPERLINK(".\links\cds\TI-522-cds.txt","TI-522")</f>
        <v>TI-522</v>
      </c>
      <c r="G194" s="6">
        <v>162</v>
      </c>
      <c r="I194" s="6" t="s">
        <v>8</v>
      </c>
      <c r="J194" s="6" t="s">
        <v>6</v>
      </c>
      <c r="K194" s="6">
        <v>1</v>
      </c>
      <c r="L194" s="6">
        <v>0</v>
      </c>
      <c r="M194" s="6">
        <f t="shared" si="3"/>
        <v>1</v>
      </c>
      <c r="N194" s="6" t="s">
        <v>1170</v>
      </c>
      <c r="O194" s="6" t="s">
        <v>1171</v>
      </c>
      <c r="S194" s="6" t="s">
        <v>8</v>
      </c>
      <c r="AJ194" s="6" t="s">
        <v>8</v>
      </c>
      <c r="AX194" s="6" t="s">
        <v>8</v>
      </c>
      <c r="BK194" s="6" t="s">
        <v>8</v>
      </c>
      <c r="CB194" s="6" t="s">
        <v>8</v>
      </c>
      <c r="CE194" s="6" t="s">
        <v>8</v>
      </c>
      <c r="CH194" s="6" t="s">
        <v>8</v>
      </c>
      <c r="CJ194" s="6" t="s">
        <v>8</v>
      </c>
      <c r="CL194" s="6" t="s">
        <v>8</v>
      </c>
      <c r="CN194" s="6" t="s">
        <v>8</v>
      </c>
      <c r="DB194" s="6" t="s">
        <v>8</v>
      </c>
    </row>
    <row r="195" spans="1:119" s="6" customFormat="1">
      <c r="A195" t="str">
        <f>HYPERLINK(".\links\pep\TI-521-pep.txt","TI-521")</f>
        <v>TI-521</v>
      </c>
      <c r="B195">
        <v>521</v>
      </c>
      <c r="C195" t="s">
        <v>20</v>
      </c>
      <c r="D195">
        <v>165</v>
      </c>
      <c r="E195">
        <v>0</v>
      </c>
      <c r="F195" t="str">
        <f>HYPERLINK(".\links\cds\TI-521-cds.txt","TI-521")</f>
        <v>TI-521</v>
      </c>
      <c r="G195">
        <v>492</v>
      </c>
      <c r="H195"/>
      <c r="I195" t="s">
        <v>8</v>
      </c>
      <c r="J195" t="s">
        <v>8</v>
      </c>
      <c r="K195">
        <v>9</v>
      </c>
      <c r="L195">
        <v>8</v>
      </c>
      <c r="M195">
        <f t="shared" si="3"/>
        <v>1</v>
      </c>
      <c r="N195" t="s">
        <v>1195</v>
      </c>
      <c r="O195" t="s">
        <v>1196</v>
      </c>
      <c r="P195" t="str">
        <f>HYPERLINK(".\links\NR-LIGHT\TI-521-NR-LIGHT.txt","NR-LIGHT")</f>
        <v>NR-LIGHT</v>
      </c>
      <c r="Q195" s="3">
        <v>2.0000000000000001E-68</v>
      </c>
      <c r="R195">
        <v>8.5</v>
      </c>
      <c r="S195" t="str">
        <f>HYPERLINK(".\links\NR-LIGHT\TI-521-NR-LIGHT.txt","nonstructural protein precursor")</f>
        <v>nonstructural protein precursor</v>
      </c>
      <c r="T195" t="str">
        <f>HYPERLINK("http://www.ncbi.nlm.nih.gov/sutils/blink.cgi?pid=20451029","2E-068")</f>
        <v>2E-068</v>
      </c>
      <c r="U195" t="str">
        <f>HYPERLINK("http://www.ncbi.nlm.nih.gov/protein/20451029","gi|20451029")</f>
        <v>gi|20451029</v>
      </c>
      <c r="V195">
        <v>259</v>
      </c>
      <c r="W195">
        <v>153</v>
      </c>
      <c r="X195">
        <v>1795</v>
      </c>
      <c r="Y195">
        <v>77</v>
      </c>
      <c r="Z195">
        <v>9</v>
      </c>
      <c r="AA195">
        <v>34</v>
      </c>
      <c r="AB195">
        <v>0</v>
      </c>
      <c r="AC195">
        <v>1</v>
      </c>
      <c r="AD195">
        <v>1</v>
      </c>
      <c r="AE195">
        <v>1</v>
      </c>
      <c r="AF195"/>
      <c r="AG195" t="s">
        <v>13</v>
      </c>
      <c r="AH195" t="s">
        <v>51</v>
      </c>
      <c r="AI195" t="s">
        <v>269</v>
      </c>
      <c r="AJ195" t="s">
        <v>8</v>
      </c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 t="s">
        <v>8</v>
      </c>
      <c r="AY195"/>
      <c r="AZ195"/>
      <c r="BA195"/>
      <c r="BB195"/>
      <c r="BC195"/>
      <c r="BD195"/>
      <c r="BE195"/>
      <c r="BF195"/>
      <c r="BG195"/>
      <c r="BH195"/>
      <c r="BI195"/>
      <c r="BJ195"/>
      <c r="BK195" t="s">
        <v>8</v>
      </c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 t="s">
        <v>8</v>
      </c>
      <c r="CC195"/>
      <c r="CD195"/>
      <c r="CE195" t="s">
        <v>8</v>
      </c>
      <c r="CF195"/>
      <c r="CG195"/>
      <c r="CH195" t="s">
        <v>8</v>
      </c>
      <c r="CI195"/>
      <c r="CJ195" t="s">
        <v>8</v>
      </c>
      <c r="CK195"/>
      <c r="CL195" t="s">
        <v>8</v>
      </c>
      <c r="CM195"/>
      <c r="CN195" t="s">
        <v>8</v>
      </c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 t="s">
        <v>8</v>
      </c>
      <c r="DC195"/>
      <c r="DD195"/>
      <c r="DE195"/>
      <c r="DF195"/>
      <c r="DG195"/>
      <c r="DH195"/>
      <c r="DI195"/>
      <c r="DJ195"/>
      <c r="DK195"/>
      <c r="DL195"/>
      <c r="DM195"/>
      <c r="DN195"/>
      <c r="DO195"/>
    </row>
    <row r="196" spans="1:119" s="6" customFormat="1">
      <c r="A196" s="6" t="str">
        <f>HYPERLINK(".\links\pep\TI-520-pep.txt","TI-520")</f>
        <v>TI-520</v>
      </c>
      <c r="B196" s="6">
        <v>520</v>
      </c>
      <c r="C196" s="6" t="s">
        <v>12</v>
      </c>
      <c r="D196" s="6">
        <v>32</v>
      </c>
      <c r="E196" s="6">
        <v>0</v>
      </c>
      <c r="F196" s="6" t="str">
        <f>HYPERLINK(".\links\cds\TI-520-cds.txt","TI-520")</f>
        <v>TI-520</v>
      </c>
      <c r="G196" s="6">
        <v>99</v>
      </c>
      <c r="I196" s="6" t="s">
        <v>8</v>
      </c>
      <c r="J196" s="6" t="s">
        <v>6</v>
      </c>
      <c r="K196" s="6">
        <v>1</v>
      </c>
      <c r="L196" s="6">
        <v>0</v>
      </c>
      <c r="M196" s="6">
        <f t="shared" si="3"/>
        <v>1</v>
      </c>
      <c r="N196" s="6" t="s">
        <v>1170</v>
      </c>
      <c r="O196" s="6" t="s">
        <v>1171</v>
      </c>
      <c r="S196" s="6" t="s">
        <v>8</v>
      </c>
      <c r="AJ196" s="6" t="s">
        <v>8</v>
      </c>
      <c r="AX196" s="6" t="s">
        <v>8</v>
      </c>
      <c r="BK196" s="6" t="s">
        <v>8</v>
      </c>
      <c r="CB196" s="6" t="s">
        <v>8</v>
      </c>
      <c r="CE196" s="6" t="s">
        <v>8</v>
      </c>
      <c r="CH196" s="6" t="s">
        <v>8</v>
      </c>
      <c r="CJ196" s="6" t="s">
        <v>8</v>
      </c>
      <c r="CL196" s="6" t="s">
        <v>8</v>
      </c>
      <c r="CN196" s="6" t="s">
        <v>8</v>
      </c>
      <c r="DB196" s="6" t="s">
        <v>8</v>
      </c>
    </row>
    <row r="197" spans="1:119" s="6" customFormat="1">
      <c r="A197" s="6" t="str">
        <f>HYPERLINK(".\links\pep\TI-52-pep.txt","TI-52")</f>
        <v>TI-52</v>
      </c>
      <c r="B197" s="6">
        <v>52</v>
      </c>
      <c r="C197" s="6" t="s">
        <v>27</v>
      </c>
      <c r="D197" s="6">
        <v>35</v>
      </c>
      <c r="E197" s="6">
        <v>0</v>
      </c>
      <c r="F197" s="6" t="str">
        <f>HYPERLINK(".\links\cds\TI-52-cds.txt","TI-52")</f>
        <v>TI-52</v>
      </c>
      <c r="G197" s="6">
        <v>108</v>
      </c>
      <c r="I197" s="6" t="s">
        <v>8</v>
      </c>
      <c r="J197" s="6" t="s">
        <v>6</v>
      </c>
      <c r="K197" s="6">
        <v>1</v>
      </c>
      <c r="L197" s="6">
        <v>0</v>
      </c>
      <c r="M197" s="6">
        <f t="shared" si="3"/>
        <v>1</v>
      </c>
      <c r="N197" s="6" t="s">
        <v>1170</v>
      </c>
      <c r="O197" s="6" t="s">
        <v>1171</v>
      </c>
      <c r="S197" s="6" t="s">
        <v>8</v>
      </c>
      <c r="AJ197" s="6" t="s">
        <v>8</v>
      </c>
      <c r="AX197" s="6" t="s">
        <v>8</v>
      </c>
      <c r="BK197" s="6" t="s">
        <v>8</v>
      </c>
      <c r="CB197" s="6" t="s">
        <v>8</v>
      </c>
      <c r="CE197" s="6" t="s">
        <v>8</v>
      </c>
      <c r="CH197" s="6" t="s">
        <v>8</v>
      </c>
      <c r="CJ197" s="6" t="s">
        <v>8</v>
      </c>
      <c r="CL197" s="6" t="s">
        <v>8</v>
      </c>
      <c r="CN197" s="6" t="s">
        <v>8</v>
      </c>
      <c r="DB197" s="6" t="s">
        <v>8</v>
      </c>
    </row>
    <row r="198" spans="1:119" s="6" customFormat="1">
      <c r="A198" s="6" t="str">
        <f>HYPERLINK(".\links\pep\TI-510-pep.txt","TI-510")</f>
        <v>TI-510</v>
      </c>
      <c r="B198" s="6">
        <v>510</v>
      </c>
      <c r="C198" s="6" t="s">
        <v>10</v>
      </c>
      <c r="D198" s="6">
        <v>59</v>
      </c>
      <c r="E198" s="6">
        <v>0</v>
      </c>
      <c r="F198" s="6" t="str">
        <f>HYPERLINK(".\links\cds\TI-510-cds.txt","TI-510")</f>
        <v>TI-510</v>
      </c>
      <c r="G198" s="6">
        <v>180</v>
      </c>
      <c r="I198" s="6" t="s">
        <v>8</v>
      </c>
      <c r="J198" s="6" t="s">
        <v>6</v>
      </c>
      <c r="K198" s="6">
        <v>1</v>
      </c>
      <c r="L198" s="6">
        <v>0</v>
      </c>
      <c r="M198" s="6">
        <f t="shared" si="3"/>
        <v>1</v>
      </c>
      <c r="N198" s="6" t="s">
        <v>1170</v>
      </c>
      <c r="O198" s="6" t="s">
        <v>1171</v>
      </c>
      <c r="S198" s="6" t="s">
        <v>8</v>
      </c>
      <c r="AJ198" s="6" t="s">
        <v>8</v>
      </c>
      <c r="AX198" s="6" t="s">
        <v>8</v>
      </c>
      <c r="BK198" s="6" t="s">
        <v>8</v>
      </c>
      <c r="CB198" s="6" t="s">
        <v>8</v>
      </c>
      <c r="CE198" s="6" t="s">
        <v>8</v>
      </c>
      <c r="CH198" s="6" t="s">
        <v>8</v>
      </c>
      <c r="CJ198" s="6" t="s">
        <v>8</v>
      </c>
      <c r="CL198" s="6" t="s">
        <v>8</v>
      </c>
      <c r="CN198" s="6" t="s">
        <v>8</v>
      </c>
      <c r="DB198" s="6" t="s">
        <v>8</v>
      </c>
    </row>
    <row r="199" spans="1:119" s="6" customFormat="1">
      <c r="A199" s="6" t="str">
        <f>HYPERLINK(".\links\pep\TI-509-pep.txt","TI-509")</f>
        <v>TI-509</v>
      </c>
      <c r="B199" s="6">
        <v>509</v>
      </c>
      <c r="C199" s="6" t="s">
        <v>7</v>
      </c>
      <c r="D199" s="6">
        <v>13</v>
      </c>
      <c r="E199" s="6">
        <v>0</v>
      </c>
      <c r="F199" s="6" t="str">
        <f>HYPERLINK(".\links\cds\TI-509-cds.txt","TI-509")</f>
        <v>TI-509</v>
      </c>
      <c r="G199" s="6">
        <v>42</v>
      </c>
      <c r="I199" s="6" t="s">
        <v>29</v>
      </c>
      <c r="J199" s="6" t="s">
        <v>6</v>
      </c>
      <c r="K199" s="6">
        <v>1</v>
      </c>
      <c r="L199" s="6">
        <v>0</v>
      </c>
      <c r="M199" s="6">
        <f t="shared" si="3"/>
        <v>1</v>
      </c>
      <c r="N199" s="6" t="s">
        <v>1170</v>
      </c>
      <c r="O199" s="6" t="s">
        <v>1171</v>
      </c>
      <c r="S199" s="6" t="s">
        <v>8</v>
      </c>
      <c r="AJ199" s="6" t="s">
        <v>8</v>
      </c>
      <c r="AX199" s="6" t="s">
        <v>8</v>
      </c>
      <c r="BK199" s="6" t="s">
        <v>8</v>
      </c>
      <c r="CB199" s="6" t="s">
        <v>8</v>
      </c>
      <c r="CE199" s="6" t="s">
        <v>8</v>
      </c>
      <c r="CH199" s="6" t="s">
        <v>8</v>
      </c>
      <c r="CJ199" s="6" t="s">
        <v>8</v>
      </c>
      <c r="CL199" s="6" t="s">
        <v>8</v>
      </c>
      <c r="CN199" s="6" t="s">
        <v>8</v>
      </c>
      <c r="DB199" s="6" t="s">
        <v>8</v>
      </c>
    </row>
    <row r="200" spans="1:119" s="6" customFormat="1">
      <c r="A200" t="str">
        <f>HYPERLINK(".\links\pep\TI-508-pep.txt","TI-508")</f>
        <v>TI-508</v>
      </c>
      <c r="B200">
        <v>508</v>
      </c>
      <c r="C200" t="s">
        <v>7</v>
      </c>
      <c r="D200">
        <v>105</v>
      </c>
      <c r="E200" s="2">
        <v>4.7619049999999996</v>
      </c>
      <c r="F200" t="str">
        <f>HYPERLINK(".\links\cds\TI-508-cds.txt","TI-508")</f>
        <v>TI-508</v>
      </c>
      <c r="G200">
        <v>318</v>
      </c>
      <c r="H200"/>
      <c r="I200" t="s">
        <v>29</v>
      </c>
      <c r="J200" t="s">
        <v>6</v>
      </c>
      <c r="K200">
        <v>1</v>
      </c>
      <c r="L200">
        <v>0</v>
      </c>
      <c r="M200">
        <f t="shared" si="3"/>
        <v>1</v>
      </c>
      <c r="N200" t="s">
        <v>1346</v>
      </c>
      <c r="O200" t="s">
        <v>1178</v>
      </c>
      <c r="P200" t="str">
        <f>HYPERLINK(".\links\NR-LIGHT\TI-508-NR-LIGHT.txt","NR-LIGHT")</f>
        <v>NR-LIGHT</v>
      </c>
      <c r="Q200" s="3">
        <v>3.0000000000000002E-44</v>
      </c>
      <c r="R200">
        <v>100</v>
      </c>
      <c r="S200" t="str">
        <f>HYPERLINK(".\links\NR-LIGHT\TI-508-NR-LIGHT.txt","thioredoxin")</f>
        <v>thioredoxin</v>
      </c>
      <c r="T200" t="str">
        <f>HYPERLINK("http://www.ncbi.nlm.nih.gov/sutils/blink.cgi?pid=307095132","3E-044")</f>
        <v>3E-044</v>
      </c>
      <c r="U200" t="str">
        <f>HYPERLINK("http://www.ncbi.nlm.nih.gov/protein/307095132","gi|307095132")</f>
        <v>gi|307095132</v>
      </c>
      <c r="V200">
        <v>179</v>
      </c>
      <c r="W200">
        <v>104</v>
      </c>
      <c r="X200">
        <v>105</v>
      </c>
      <c r="Y200">
        <v>86</v>
      </c>
      <c r="Z200">
        <v>100</v>
      </c>
      <c r="AA200">
        <v>14</v>
      </c>
      <c r="AB200">
        <v>0</v>
      </c>
      <c r="AC200">
        <v>1</v>
      </c>
      <c r="AD200">
        <v>1</v>
      </c>
      <c r="AE200">
        <v>1</v>
      </c>
      <c r="AF200"/>
      <c r="AG200" t="s">
        <v>13</v>
      </c>
      <c r="AH200" t="s">
        <v>51</v>
      </c>
      <c r="AI200" t="s">
        <v>278</v>
      </c>
      <c r="AJ200" t="str">
        <f>HYPERLINK(".\links\SWISSP\TI-508-SWISSP.txt","Thioredoxin-2 OS=Drosophila yakuba GN=Trx-2 PE=3 SV=1")</f>
        <v>Thioredoxin-2 OS=Drosophila yakuba GN=Trx-2 PE=3 SV=1</v>
      </c>
      <c r="AK200" t="str">
        <f>HYPERLINK("http://www.uniprot.org/uniprot/Q6XHI1","7E-023")</f>
        <v>7E-023</v>
      </c>
      <c r="AL200" t="s">
        <v>78</v>
      </c>
      <c r="AM200">
        <v>105</v>
      </c>
      <c r="AN200">
        <v>101</v>
      </c>
      <c r="AO200">
        <v>106</v>
      </c>
      <c r="AP200">
        <v>50</v>
      </c>
      <c r="AQ200">
        <v>96</v>
      </c>
      <c r="AR200">
        <v>50</v>
      </c>
      <c r="AS200">
        <v>1</v>
      </c>
      <c r="AT200">
        <v>1</v>
      </c>
      <c r="AU200">
        <v>1</v>
      </c>
      <c r="AV200">
        <v>1</v>
      </c>
      <c r="AW200" t="s">
        <v>79</v>
      </c>
      <c r="AX200" t="str">
        <f>HYPERLINK(".\links\PREV-RHOD-PEP\TI-508-PREV-RHOD-PEP.txt","Contig17970_682")</f>
        <v>Contig17970_682</v>
      </c>
      <c r="AY200" s="3">
        <v>7.9999999999999999E-45</v>
      </c>
      <c r="AZ200" t="s">
        <v>1003</v>
      </c>
      <c r="BA200">
        <v>174</v>
      </c>
      <c r="BB200">
        <v>94</v>
      </c>
      <c r="BC200">
        <v>433</v>
      </c>
      <c r="BD200">
        <v>88</v>
      </c>
      <c r="BE200">
        <v>22</v>
      </c>
      <c r="BF200">
        <v>11</v>
      </c>
      <c r="BG200">
        <v>0</v>
      </c>
      <c r="BH200">
        <v>9</v>
      </c>
      <c r="BI200">
        <v>10</v>
      </c>
      <c r="BJ200">
        <v>1</v>
      </c>
      <c r="BK200" t="s">
        <v>412</v>
      </c>
      <c r="BL200">
        <f>HYPERLINK(".\links\GO\TI-508-GO.txt",1E-22)</f>
        <v>1E-22</v>
      </c>
      <c r="BM200" t="s">
        <v>413</v>
      </c>
      <c r="BN200" t="s">
        <v>345</v>
      </c>
      <c r="BO200" t="s">
        <v>368</v>
      </c>
      <c r="BP200" t="s">
        <v>414</v>
      </c>
      <c r="BQ200" s="3">
        <v>1E-22</v>
      </c>
      <c r="BR200" t="s">
        <v>375</v>
      </c>
      <c r="BS200" t="s">
        <v>375</v>
      </c>
      <c r="BT200"/>
      <c r="BU200" t="s">
        <v>376</v>
      </c>
      <c r="BV200" s="3">
        <v>1E-22</v>
      </c>
      <c r="BW200" t="s">
        <v>370</v>
      </c>
      <c r="BX200" t="s">
        <v>345</v>
      </c>
      <c r="BY200" t="s">
        <v>368</v>
      </c>
      <c r="BZ200" t="s">
        <v>371</v>
      </c>
      <c r="CA200" s="3">
        <v>1E-22</v>
      </c>
      <c r="CB200" t="s">
        <v>8</v>
      </c>
      <c r="CC200"/>
      <c r="CD200"/>
      <c r="CE200" t="s">
        <v>8</v>
      </c>
      <c r="CF200"/>
      <c r="CG200"/>
      <c r="CH200" t="s">
        <v>8</v>
      </c>
      <c r="CI200"/>
      <c r="CJ200" t="s">
        <v>8</v>
      </c>
      <c r="CK200"/>
      <c r="CL200" t="s">
        <v>8</v>
      </c>
      <c r="CM200"/>
      <c r="CN200" t="s">
        <v>8</v>
      </c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 t="s">
        <v>8</v>
      </c>
      <c r="DC200"/>
      <c r="DD200"/>
      <c r="DE200"/>
      <c r="DF200"/>
      <c r="DG200"/>
      <c r="DH200"/>
      <c r="DI200"/>
      <c r="DJ200"/>
      <c r="DK200"/>
      <c r="DL200"/>
      <c r="DM200"/>
      <c r="DN200"/>
      <c r="DO200"/>
    </row>
    <row r="201" spans="1:119" s="6" customFormat="1">
      <c r="A201" s="6" t="str">
        <f>HYPERLINK(".\links\pep\TI-500-pep.txt","TI-500")</f>
        <v>TI-500</v>
      </c>
      <c r="B201" s="6">
        <v>500</v>
      </c>
      <c r="C201" s="6" t="s">
        <v>13</v>
      </c>
      <c r="D201" s="6">
        <v>18</v>
      </c>
      <c r="E201" s="6">
        <v>0</v>
      </c>
      <c r="F201" s="6" t="str">
        <f>HYPERLINK(".\links\cds\TI-500-cds.txt","TI-500")</f>
        <v>TI-500</v>
      </c>
      <c r="G201" s="6">
        <v>57</v>
      </c>
      <c r="I201" s="6" t="s">
        <v>8</v>
      </c>
      <c r="J201" s="6" t="s">
        <v>6</v>
      </c>
      <c r="K201" s="6">
        <v>1</v>
      </c>
      <c r="L201" s="6">
        <v>0</v>
      </c>
      <c r="M201" s="6">
        <f t="shared" si="3"/>
        <v>1</v>
      </c>
      <c r="N201" s="6" t="s">
        <v>1170</v>
      </c>
      <c r="O201" s="6" t="s">
        <v>1171</v>
      </c>
      <c r="S201" s="6" t="s">
        <v>8</v>
      </c>
      <c r="AJ201" s="6" t="s">
        <v>8</v>
      </c>
      <c r="AX201" s="6" t="s">
        <v>8</v>
      </c>
      <c r="BK201" s="6" t="s">
        <v>8</v>
      </c>
      <c r="CB201" s="6" t="s">
        <v>8</v>
      </c>
      <c r="CE201" s="6" t="s">
        <v>8</v>
      </c>
      <c r="CH201" s="6" t="s">
        <v>8</v>
      </c>
      <c r="CJ201" s="6" t="s">
        <v>8</v>
      </c>
      <c r="CL201" s="6" t="s">
        <v>8</v>
      </c>
      <c r="CN201" s="6" t="s">
        <v>8</v>
      </c>
      <c r="DB201" s="6" t="s">
        <v>8</v>
      </c>
    </row>
    <row r="202" spans="1:119" s="6" customFormat="1">
      <c r="A202" s="6" t="str">
        <f>HYPERLINK(".\links\pep\TI-50-pep.txt","TI-50")</f>
        <v>TI-50</v>
      </c>
      <c r="B202" s="6">
        <v>50</v>
      </c>
      <c r="C202" s="6" t="s">
        <v>11</v>
      </c>
      <c r="D202" s="6">
        <v>226</v>
      </c>
      <c r="E202" s="6">
        <v>0</v>
      </c>
      <c r="F202" s="6" t="str">
        <f>HYPERLINK(".\links\cds\TI-50-cds.txt","TI-50")</f>
        <v>TI-50</v>
      </c>
      <c r="G202" s="6">
        <v>676</v>
      </c>
      <c r="I202" s="6" t="s">
        <v>8</v>
      </c>
      <c r="J202" s="6" t="s">
        <v>8</v>
      </c>
      <c r="K202" s="6">
        <v>1</v>
      </c>
      <c r="L202" s="6">
        <v>0</v>
      </c>
      <c r="M202" s="6">
        <f t="shared" si="3"/>
        <v>1</v>
      </c>
      <c r="N202" s="6" t="s">
        <v>1170</v>
      </c>
      <c r="O202" s="6" t="s">
        <v>1171</v>
      </c>
      <c r="S202" s="6" t="str">
        <f>HYPERLINK(".\links\NR-LIGHT\TI-50-NR-LIGHT.txt","hypothetical protein")</f>
        <v>hypothetical protein</v>
      </c>
      <c r="T202" s="6" t="str">
        <f>HYPERLINK("http://www.ncbi.nlm.nih.gov/sutils/blink.cgi?pid=156544907","5E-010")</f>
        <v>5E-010</v>
      </c>
      <c r="U202" s="6" t="str">
        <f>HYPERLINK("http://www.ncbi.nlm.nih.gov/protein/156544907","gi|156544907")</f>
        <v>gi|156544907</v>
      </c>
      <c r="V202" s="6">
        <v>66.599999999999994</v>
      </c>
      <c r="W202" s="6">
        <v>1006</v>
      </c>
      <c r="X202" s="6">
        <v>1493</v>
      </c>
      <c r="Y202" s="6">
        <v>23</v>
      </c>
      <c r="Z202" s="6">
        <v>67</v>
      </c>
      <c r="AA202" s="6">
        <v>139</v>
      </c>
      <c r="AB202" s="6">
        <v>2</v>
      </c>
      <c r="AC202" s="6">
        <v>473</v>
      </c>
      <c r="AD202" s="6">
        <v>22</v>
      </c>
      <c r="AE202" s="6">
        <v>3</v>
      </c>
      <c r="AG202" s="6" t="s">
        <v>13</v>
      </c>
      <c r="AH202" s="6" t="s">
        <v>51</v>
      </c>
      <c r="AI202" s="6" t="s">
        <v>274</v>
      </c>
      <c r="AJ202" s="6" t="s">
        <v>8</v>
      </c>
      <c r="AX202" s="6" t="str">
        <f>HYPERLINK(".\links\PREV-RHOD-PEP\TI-50-PREV-RHOD-PEP.txt","Contig17849_53")</f>
        <v>Contig17849_53</v>
      </c>
      <c r="AY202" s="8">
        <v>1E-87</v>
      </c>
      <c r="AZ202" s="6" t="s">
        <v>1038</v>
      </c>
      <c r="BA202" s="6">
        <v>318</v>
      </c>
      <c r="BB202" s="6">
        <v>215</v>
      </c>
      <c r="BC202" s="6">
        <v>424</v>
      </c>
      <c r="BD202" s="6">
        <v>67</v>
      </c>
      <c r="BE202" s="6">
        <v>51</v>
      </c>
      <c r="BF202" s="6">
        <v>71</v>
      </c>
      <c r="BG202" s="6">
        <v>0</v>
      </c>
      <c r="BH202" s="6">
        <v>2</v>
      </c>
      <c r="BI202" s="6">
        <v>4</v>
      </c>
      <c r="BJ202" s="6">
        <v>1</v>
      </c>
      <c r="BK202" s="6" t="s">
        <v>8</v>
      </c>
      <c r="CB202" s="6" t="s">
        <v>8</v>
      </c>
      <c r="CE202" s="6" t="s">
        <v>8</v>
      </c>
      <c r="CH202" s="6" t="s">
        <v>8</v>
      </c>
      <c r="CJ202" s="6" t="s">
        <v>8</v>
      </c>
      <c r="CL202" s="6" t="s">
        <v>8</v>
      </c>
      <c r="CN202" s="6" t="s">
        <v>8</v>
      </c>
      <c r="DB202" s="6" t="s">
        <v>8</v>
      </c>
    </row>
    <row r="203" spans="1:119" s="6" customFormat="1">
      <c r="A203" t="str">
        <f>HYPERLINK(".\links\pep\TI-5-pep.txt","TI-5")</f>
        <v>TI-5</v>
      </c>
      <c r="B203">
        <v>5</v>
      </c>
      <c r="C203" t="s">
        <v>13</v>
      </c>
      <c r="D203">
        <v>236</v>
      </c>
      <c r="E203">
        <v>0</v>
      </c>
      <c r="F203" t="str">
        <f>HYPERLINK(".\links\cds\TI-5-cds.txt","TI-5")</f>
        <v>TI-5</v>
      </c>
      <c r="G203">
        <v>706</v>
      </c>
      <c r="H203"/>
      <c r="I203" t="s">
        <v>8</v>
      </c>
      <c r="J203" t="s">
        <v>8</v>
      </c>
      <c r="K203">
        <v>3</v>
      </c>
      <c r="L203">
        <v>0</v>
      </c>
      <c r="M203">
        <f t="shared" si="3"/>
        <v>3</v>
      </c>
      <c r="N203" t="s">
        <v>1248</v>
      </c>
      <c r="O203" t="s">
        <v>1172</v>
      </c>
      <c r="P203" t="str">
        <f>HYPERLINK(".\links\SWISSP\TI-5-SWISSP.txt","SWISSP")</f>
        <v>SWISSP</v>
      </c>
      <c r="Q203" s="3">
        <v>1.9999999999999999E-29</v>
      </c>
      <c r="R203">
        <v>30.1</v>
      </c>
      <c r="S203" t="str">
        <f>HYPERLINK(".\links\NR-LIGHT\TI-5-NR-LIGHT.txt","hypothetical protein TcasGA2_TC001323")</f>
        <v>hypothetical protein TcasGA2_TC001323</v>
      </c>
      <c r="T203" t="str">
        <f>HYPERLINK("http://www.ncbi.nlm.nih.gov/sutils/blink.cgi?pid=270002312","5E-048")</f>
        <v>5E-048</v>
      </c>
      <c r="U203" t="str">
        <f>HYPERLINK("http://www.ncbi.nlm.nih.gov/protein/270002312","gi|270002312")</f>
        <v>gi|270002312</v>
      </c>
      <c r="V203">
        <v>193</v>
      </c>
      <c r="W203">
        <v>200</v>
      </c>
      <c r="X203">
        <v>753</v>
      </c>
      <c r="Y203">
        <v>45</v>
      </c>
      <c r="Z203">
        <v>27</v>
      </c>
      <c r="AA203">
        <v>112</v>
      </c>
      <c r="AB203">
        <v>5</v>
      </c>
      <c r="AC203">
        <v>386</v>
      </c>
      <c r="AD203">
        <v>31</v>
      </c>
      <c r="AE203">
        <v>1</v>
      </c>
      <c r="AF203"/>
      <c r="AG203" t="s">
        <v>13</v>
      </c>
      <c r="AH203" t="s">
        <v>51</v>
      </c>
      <c r="AI203" t="s">
        <v>266</v>
      </c>
      <c r="AJ203" t="str">
        <f>HYPERLINK(".\links\SWISSP\TI-5-SWISSP.txt","CTL-like protein 2 OS=Anopheles gambiae GN=AGAP010343 PE=3 SV=4")</f>
        <v>CTL-like protein 2 OS=Anopheles gambiae GN=AGAP010343 PE=3 SV=4</v>
      </c>
      <c r="AK203" t="str">
        <f>HYPERLINK("http://www.uniprot.org/uniprot/Q7PRJ0","4E-043")</f>
        <v>4E-043</v>
      </c>
      <c r="AL203" t="s">
        <v>109</v>
      </c>
      <c r="AM203">
        <v>174</v>
      </c>
      <c r="AN203">
        <v>207</v>
      </c>
      <c r="AO203">
        <v>790</v>
      </c>
      <c r="AP203">
        <v>43</v>
      </c>
      <c r="AQ203">
        <v>26</v>
      </c>
      <c r="AR203">
        <v>120</v>
      </c>
      <c r="AS203">
        <v>8</v>
      </c>
      <c r="AT203">
        <v>421</v>
      </c>
      <c r="AU203">
        <v>31</v>
      </c>
      <c r="AV203">
        <v>1</v>
      </c>
      <c r="AW203" t="s">
        <v>110</v>
      </c>
      <c r="AX203" t="str">
        <f>HYPERLINK(".\links\PREV-RHOD-PEP\TI-5-PREV-RHOD-PEP.txt","Contig17825_23")</f>
        <v>Contig17825_23</v>
      </c>
      <c r="AY203" s="3">
        <v>9.9999999999999999E-93</v>
      </c>
      <c r="AZ203" t="s">
        <v>1025</v>
      </c>
      <c r="BA203">
        <v>335</v>
      </c>
      <c r="BB203">
        <v>243</v>
      </c>
      <c r="BC203">
        <v>684</v>
      </c>
      <c r="BD203">
        <v>66</v>
      </c>
      <c r="BE203">
        <v>36</v>
      </c>
      <c r="BF203">
        <v>81</v>
      </c>
      <c r="BG203">
        <v>8</v>
      </c>
      <c r="BH203">
        <v>288</v>
      </c>
      <c r="BI203">
        <v>1</v>
      </c>
      <c r="BJ203">
        <v>1</v>
      </c>
      <c r="BK203" t="s">
        <v>517</v>
      </c>
      <c r="BL203">
        <f>HYPERLINK(".\links\GO\TI-5-GO.txt",2E-24)</f>
        <v>1.9999999999999998E-24</v>
      </c>
      <c r="BM203" t="s">
        <v>518</v>
      </c>
      <c r="BN203" t="s">
        <v>319</v>
      </c>
      <c r="BO203" t="s">
        <v>320</v>
      </c>
      <c r="BP203" t="s">
        <v>519</v>
      </c>
      <c r="BQ203">
        <v>7.0000000000000005E-8</v>
      </c>
      <c r="BR203" t="s">
        <v>322</v>
      </c>
      <c r="BS203" t="s">
        <v>323</v>
      </c>
      <c r="BT203" t="s">
        <v>324</v>
      </c>
      <c r="BU203" t="s">
        <v>325</v>
      </c>
      <c r="BV203">
        <v>7.0000000000000005E-8</v>
      </c>
      <c r="BW203" t="s">
        <v>520</v>
      </c>
      <c r="BX203" t="s">
        <v>319</v>
      </c>
      <c r="BY203" t="s">
        <v>320</v>
      </c>
      <c r="BZ203" t="s">
        <v>521</v>
      </c>
      <c r="CA203">
        <v>7.0000000000000005E-8</v>
      </c>
      <c r="CB203" t="s">
        <v>8</v>
      </c>
      <c r="CC203"/>
      <c r="CD203"/>
      <c r="CE203" t="s">
        <v>8</v>
      </c>
      <c r="CF203"/>
      <c r="CG203"/>
      <c r="CH203" t="s">
        <v>8</v>
      </c>
      <c r="CI203"/>
      <c r="CJ203" t="s">
        <v>8</v>
      </c>
      <c r="CK203"/>
      <c r="CL203" t="s">
        <v>8</v>
      </c>
      <c r="CM203"/>
      <c r="CN203" t="s">
        <v>8</v>
      </c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 t="s">
        <v>8</v>
      </c>
      <c r="DC203"/>
      <c r="DD203"/>
      <c r="DE203"/>
      <c r="DF203"/>
      <c r="DG203"/>
      <c r="DH203"/>
      <c r="DI203"/>
      <c r="DJ203"/>
      <c r="DK203"/>
      <c r="DL203"/>
      <c r="DM203"/>
      <c r="DN203"/>
      <c r="DO203"/>
    </row>
    <row r="204" spans="1:119" s="6" customFormat="1">
      <c r="A204" s="6" t="str">
        <f>HYPERLINK(".\links\pep\TI-498-pep.txt","TI-498")</f>
        <v>TI-498</v>
      </c>
      <c r="B204" s="6">
        <v>498</v>
      </c>
      <c r="C204" s="6" t="s">
        <v>18</v>
      </c>
      <c r="D204" s="6">
        <v>22</v>
      </c>
      <c r="E204" s="6">
        <v>0</v>
      </c>
      <c r="F204" s="6" t="str">
        <f>HYPERLINK(".\links\cds\TI-498-cds.txt","TI-498")</f>
        <v>TI-498</v>
      </c>
      <c r="G204" s="6">
        <v>69</v>
      </c>
      <c r="I204" s="6" t="s">
        <v>8</v>
      </c>
      <c r="J204" s="6" t="s">
        <v>6</v>
      </c>
      <c r="K204" s="6">
        <v>1</v>
      </c>
      <c r="L204" s="6">
        <v>0</v>
      </c>
      <c r="M204" s="6">
        <f t="shared" si="3"/>
        <v>1</v>
      </c>
      <c r="N204" s="6" t="s">
        <v>1170</v>
      </c>
      <c r="O204" s="6" t="s">
        <v>1171</v>
      </c>
      <c r="S204" s="6" t="s">
        <v>8</v>
      </c>
      <c r="AJ204" s="6" t="s">
        <v>8</v>
      </c>
      <c r="AX204" s="6" t="s">
        <v>8</v>
      </c>
      <c r="BK204" s="6" t="s">
        <v>8</v>
      </c>
      <c r="CB204" s="6" t="s">
        <v>8</v>
      </c>
      <c r="CE204" s="6" t="s">
        <v>8</v>
      </c>
      <c r="CH204" s="6" t="s">
        <v>8</v>
      </c>
      <c r="CJ204" s="6" t="s">
        <v>8</v>
      </c>
      <c r="CL204" s="6" t="s">
        <v>8</v>
      </c>
      <c r="CN204" s="6" t="s">
        <v>8</v>
      </c>
      <c r="DB204" s="6" t="s">
        <v>8</v>
      </c>
    </row>
    <row r="205" spans="1:119" s="6" customFormat="1">
      <c r="A205" s="6" t="str">
        <f>HYPERLINK(".\links\pep\TI-496-pep.txt","TI-496")</f>
        <v>TI-496</v>
      </c>
      <c r="B205" s="6">
        <v>496</v>
      </c>
      <c r="C205" s="6" t="s">
        <v>15</v>
      </c>
      <c r="D205" s="6">
        <v>62</v>
      </c>
      <c r="E205" s="6">
        <v>0</v>
      </c>
      <c r="F205" s="6" t="str">
        <f>HYPERLINK(".\links\cds\TI-496-cds.txt","TI-496")</f>
        <v>TI-496</v>
      </c>
      <c r="G205" s="6">
        <v>189</v>
      </c>
      <c r="I205" s="6" t="s">
        <v>8</v>
      </c>
      <c r="J205" s="6" t="s">
        <v>6</v>
      </c>
      <c r="K205" s="6">
        <v>1</v>
      </c>
      <c r="L205" s="6">
        <v>0</v>
      </c>
      <c r="M205" s="6">
        <f t="shared" ref="M205:M264" si="4">ABS(K205-L205)</f>
        <v>1</v>
      </c>
      <c r="N205" s="6" t="s">
        <v>1170</v>
      </c>
      <c r="O205" s="6" t="s">
        <v>1171</v>
      </c>
      <c r="S205" s="6" t="s">
        <v>8</v>
      </c>
      <c r="AJ205" s="6" t="s">
        <v>8</v>
      </c>
      <c r="AX205" s="6" t="s">
        <v>8</v>
      </c>
      <c r="BK205" s="6" t="s">
        <v>8</v>
      </c>
      <c r="CB205" s="6" t="s">
        <v>8</v>
      </c>
      <c r="CE205" s="6" t="s">
        <v>8</v>
      </c>
      <c r="CH205" s="6" t="s">
        <v>8</v>
      </c>
      <c r="CJ205" s="6" t="s">
        <v>8</v>
      </c>
      <c r="CL205" s="6" t="s">
        <v>8</v>
      </c>
      <c r="CN205" s="6" t="s">
        <v>8</v>
      </c>
      <c r="DB205" s="6" t="s">
        <v>8</v>
      </c>
    </row>
    <row r="206" spans="1:119" s="6" customFormat="1">
      <c r="A206" t="str">
        <f>HYPERLINK(".\links\pep\TI-494-pep.txt","TI-494")</f>
        <v>TI-494</v>
      </c>
      <c r="B206">
        <v>494</v>
      </c>
      <c r="C206" t="s">
        <v>7</v>
      </c>
      <c r="D206">
        <v>143</v>
      </c>
      <c r="E206">
        <v>0</v>
      </c>
      <c r="F206" t="str">
        <f>HYPERLINK(".\links\cds\TI-494-cds.txt","TI-494")</f>
        <v>TI-494</v>
      </c>
      <c r="G206">
        <v>432</v>
      </c>
      <c r="H206"/>
      <c r="I206" t="s">
        <v>29</v>
      </c>
      <c r="J206" t="s">
        <v>6</v>
      </c>
      <c r="K206">
        <v>4</v>
      </c>
      <c r="L206">
        <v>1</v>
      </c>
      <c r="M206">
        <f t="shared" si="4"/>
        <v>3</v>
      </c>
      <c r="N206" t="s">
        <v>1236</v>
      </c>
      <c r="O206" t="s">
        <v>1169</v>
      </c>
      <c r="P206" t="str">
        <f>HYPERLINK(".\links\SWISSP\TI-494-SWISSP.txt","SWISSP")</f>
        <v>SWISSP</v>
      </c>
      <c r="Q206" s="3">
        <v>2.9999999999999999E-75</v>
      </c>
      <c r="R206">
        <v>100</v>
      </c>
      <c r="S206" t="str">
        <f>HYPERLINK(".\links\NR-LIGHT\TI-494-NR-LIGHT.txt","40S ribosomal protein S23, putative")</f>
        <v>40S ribosomal protein S23, putative</v>
      </c>
      <c r="T206" t="str">
        <f>HYPERLINK("http://www.ncbi.nlm.nih.gov/sutils/blink.cgi?pid=242025351","4E-075")</f>
        <v>4E-075</v>
      </c>
      <c r="U206" t="str">
        <f>HYPERLINK("http://www.ncbi.nlm.nih.gov/protein/242025351","gi|242025351")</f>
        <v>gi|242025351</v>
      </c>
      <c r="V206">
        <v>281</v>
      </c>
      <c r="W206">
        <v>142</v>
      </c>
      <c r="X206">
        <v>143</v>
      </c>
      <c r="Y206">
        <v>96</v>
      </c>
      <c r="Z206">
        <v>100</v>
      </c>
      <c r="AA206">
        <v>5</v>
      </c>
      <c r="AB206">
        <v>0</v>
      </c>
      <c r="AC206">
        <v>1</v>
      </c>
      <c r="AD206">
        <v>1</v>
      </c>
      <c r="AE206">
        <v>1</v>
      </c>
      <c r="AF206"/>
      <c r="AG206" t="s">
        <v>13</v>
      </c>
      <c r="AH206" t="s">
        <v>51</v>
      </c>
      <c r="AI206" t="s">
        <v>268</v>
      </c>
      <c r="AJ206" t="str">
        <f>HYPERLINK(".\links\SWISSP\TI-494-SWISSP.txt","40S ribosomal protein S23 OS=Spodoptera frugiperda GN=RpS23 PE=2 SV=1")</f>
        <v>40S ribosomal protein S23 OS=Spodoptera frugiperda GN=RpS23 PE=2 SV=1</v>
      </c>
      <c r="AK206" t="str">
        <f>HYPERLINK("http://www.uniprot.org/uniprot/Q962Q7","3E-075")</f>
        <v>3E-075</v>
      </c>
      <c r="AL206" t="s">
        <v>243</v>
      </c>
      <c r="AM206">
        <v>279</v>
      </c>
      <c r="AN206">
        <v>142</v>
      </c>
      <c r="AO206">
        <v>143</v>
      </c>
      <c r="AP206">
        <v>95</v>
      </c>
      <c r="AQ206">
        <v>100</v>
      </c>
      <c r="AR206">
        <v>6</v>
      </c>
      <c r="AS206">
        <v>0</v>
      </c>
      <c r="AT206">
        <v>1</v>
      </c>
      <c r="AU206">
        <v>1</v>
      </c>
      <c r="AV206">
        <v>1</v>
      </c>
      <c r="AW206" t="s">
        <v>58</v>
      </c>
      <c r="AX206" t="str">
        <f>HYPERLINK(".\links\PREV-RHOD-PEP\TI-494-PREV-RHOD-PEP.txt","Contig17967_29")</f>
        <v>Contig17967_29</v>
      </c>
      <c r="AY206" s="3">
        <v>1.9999999999999999E-77</v>
      </c>
      <c r="AZ206" t="s">
        <v>1151</v>
      </c>
      <c r="BA206">
        <v>283</v>
      </c>
      <c r="BB206">
        <v>142</v>
      </c>
      <c r="BC206">
        <v>143</v>
      </c>
      <c r="BD206">
        <v>97</v>
      </c>
      <c r="BE206">
        <v>100</v>
      </c>
      <c r="BF206">
        <v>3</v>
      </c>
      <c r="BG206">
        <v>0</v>
      </c>
      <c r="BH206">
        <v>1</v>
      </c>
      <c r="BI206">
        <v>1</v>
      </c>
      <c r="BJ206">
        <v>1</v>
      </c>
      <c r="BK206" t="s">
        <v>947</v>
      </c>
      <c r="BL206">
        <f>HYPERLINK(".\links\GO\TI-494-GO.txt",5E-75)</f>
        <v>4.9999999999999998E-75</v>
      </c>
      <c r="BM206" t="s">
        <v>329</v>
      </c>
      <c r="BN206" t="s">
        <v>330</v>
      </c>
      <c r="BO206" t="s">
        <v>331</v>
      </c>
      <c r="BP206" t="s">
        <v>332</v>
      </c>
      <c r="BQ206" s="3">
        <v>4.9999999999999998E-75</v>
      </c>
      <c r="BR206" t="s">
        <v>739</v>
      </c>
      <c r="BS206" t="s">
        <v>323</v>
      </c>
      <c r="BT206" t="s">
        <v>334</v>
      </c>
      <c r="BU206" t="s">
        <v>740</v>
      </c>
      <c r="BV206" s="3">
        <v>4.9999999999999998E-75</v>
      </c>
      <c r="BW206" t="s">
        <v>336</v>
      </c>
      <c r="BX206" t="s">
        <v>330</v>
      </c>
      <c r="BY206" t="s">
        <v>331</v>
      </c>
      <c r="BZ206" t="s">
        <v>337</v>
      </c>
      <c r="CA206" s="3">
        <v>4.9999999999999998E-75</v>
      </c>
      <c r="CB206" t="s">
        <v>8</v>
      </c>
      <c r="CC206"/>
      <c r="CD206"/>
      <c r="CE206" t="s">
        <v>8</v>
      </c>
      <c r="CF206"/>
      <c r="CG206"/>
      <c r="CH206" t="s">
        <v>8</v>
      </c>
      <c r="CI206"/>
      <c r="CJ206" t="s">
        <v>8</v>
      </c>
      <c r="CK206"/>
      <c r="CL206" t="s">
        <v>8</v>
      </c>
      <c r="CM206"/>
      <c r="CN206" t="s">
        <v>8</v>
      </c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 t="s">
        <v>8</v>
      </c>
      <c r="DC206"/>
      <c r="DD206"/>
      <c r="DE206"/>
      <c r="DF206"/>
      <c r="DG206"/>
      <c r="DH206"/>
      <c r="DI206"/>
      <c r="DJ206"/>
      <c r="DK206"/>
      <c r="DL206"/>
      <c r="DM206"/>
      <c r="DN206"/>
      <c r="DO206"/>
    </row>
    <row r="207" spans="1:119" s="6" customFormat="1">
      <c r="A207" s="6" t="str">
        <f>HYPERLINK(".\links\pep\TI-491-pep.txt","TI-491")</f>
        <v>TI-491</v>
      </c>
      <c r="B207" s="6">
        <v>491</v>
      </c>
      <c r="C207" s="6" t="s">
        <v>12</v>
      </c>
      <c r="D207" s="6">
        <v>211</v>
      </c>
      <c r="E207" s="7">
        <v>2.3696679999999999</v>
      </c>
      <c r="F207" s="6" t="str">
        <f>HYPERLINK(".\links\cds\TI-491-cds.txt","TI-491")</f>
        <v>TI-491</v>
      </c>
      <c r="G207" s="6">
        <v>632</v>
      </c>
      <c r="I207" s="6" t="s">
        <v>8</v>
      </c>
      <c r="J207" s="6" t="s">
        <v>8</v>
      </c>
      <c r="K207" s="6">
        <v>1</v>
      </c>
      <c r="L207" s="6">
        <v>0</v>
      </c>
      <c r="M207" s="6">
        <f t="shared" si="4"/>
        <v>1</v>
      </c>
      <c r="N207" s="6" t="s">
        <v>1170</v>
      </c>
      <c r="O207" s="6" t="s">
        <v>1171</v>
      </c>
      <c r="S207" s="6" t="s">
        <v>8</v>
      </c>
      <c r="AJ207" s="6" t="s">
        <v>8</v>
      </c>
      <c r="AX207" s="6" t="s">
        <v>8</v>
      </c>
      <c r="BK207" s="6" t="s">
        <v>8</v>
      </c>
      <c r="CB207" s="6" t="s">
        <v>8</v>
      </c>
      <c r="CE207" s="6" t="s">
        <v>8</v>
      </c>
      <c r="CH207" s="6" t="s">
        <v>8</v>
      </c>
      <c r="CJ207" s="6" t="s">
        <v>8</v>
      </c>
      <c r="CL207" s="6" t="s">
        <v>8</v>
      </c>
      <c r="CN207" s="6" t="s">
        <v>8</v>
      </c>
      <c r="DB207" s="6" t="s">
        <v>8</v>
      </c>
    </row>
    <row r="208" spans="1:119" s="6" customFormat="1">
      <c r="A208" t="str">
        <f>HYPERLINK(".\links\pep\TI-482-pep.txt","TI-482")</f>
        <v>TI-482</v>
      </c>
      <c r="B208">
        <v>482</v>
      </c>
      <c r="C208" t="s">
        <v>20</v>
      </c>
      <c r="D208">
        <v>138</v>
      </c>
      <c r="E208">
        <v>0</v>
      </c>
      <c r="F208" t="str">
        <f>HYPERLINK(".\links\cds\TI-482-cds.txt","TI-482")</f>
        <v>TI-482</v>
      </c>
      <c r="G208">
        <v>417</v>
      </c>
      <c r="H208"/>
      <c r="I208" t="s">
        <v>8</v>
      </c>
      <c r="J208" t="s">
        <v>6</v>
      </c>
      <c r="K208">
        <v>1</v>
      </c>
      <c r="L208">
        <v>0</v>
      </c>
      <c r="M208">
        <f t="shared" si="4"/>
        <v>1</v>
      </c>
      <c r="N208" t="s">
        <v>1174</v>
      </c>
      <c r="O208" t="s">
        <v>1175</v>
      </c>
      <c r="P208" t="str">
        <f>HYPERLINK(".\links\NR-LIGHT\TI-482-NR-LIGHT.txt","NR-LIGHT")</f>
        <v>NR-LIGHT</v>
      </c>
      <c r="Q208" s="3">
        <v>7.0000000000000004E-42</v>
      </c>
      <c r="R208">
        <v>35.299999999999997</v>
      </c>
      <c r="S208" t="str">
        <f>HYPERLINK(".\links\NR-LIGHT\TI-482-NR-LIGHT.txt","cathepsin D")</f>
        <v>cathepsin D</v>
      </c>
      <c r="T208" t="str">
        <f>HYPERLINK("http://www.ncbi.nlm.nih.gov/sutils/blink.cgi?pid=301030231","7E-042")</f>
        <v>7E-042</v>
      </c>
      <c r="U208" t="str">
        <f>HYPERLINK("http://www.ncbi.nlm.nih.gov/protein/301030231","gi|301030231")</f>
        <v>gi|301030231</v>
      </c>
      <c r="V208">
        <v>171</v>
      </c>
      <c r="W208">
        <v>136</v>
      </c>
      <c r="X208">
        <v>390</v>
      </c>
      <c r="Y208">
        <v>57</v>
      </c>
      <c r="Z208">
        <v>35</v>
      </c>
      <c r="AA208">
        <v>59</v>
      </c>
      <c r="AB208">
        <v>1</v>
      </c>
      <c r="AC208">
        <v>253</v>
      </c>
      <c r="AD208">
        <v>1</v>
      </c>
      <c r="AE208">
        <v>1</v>
      </c>
      <c r="AF208"/>
      <c r="AG208" t="s">
        <v>13</v>
      </c>
      <c r="AH208" t="s">
        <v>51</v>
      </c>
      <c r="AI208" t="s">
        <v>273</v>
      </c>
      <c r="AJ208" t="str">
        <f>HYPERLINK(".\links\SWISSP\TI-482-SWISSP.txt","Cathepsin D OS=Homo sapiens GN=CTSD PE=1 SV=1")</f>
        <v>Cathepsin D OS=Homo sapiens GN=CTSD PE=1 SV=1</v>
      </c>
      <c r="AK208" t="str">
        <f>HYPERLINK("http://www.uniprot.org/uniprot/P07339","1E-023")</f>
        <v>1E-023</v>
      </c>
      <c r="AL208" t="s">
        <v>242</v>
      </c>
      <c r="AM208">
        <v>107</v>
      </c>
      <c r="AN208">
        <v>131</v>
      </c>
      <c r="AO208">
        <v>412</v>
      </c>
      <c r="AP208">
        <v>39</v>
      </c>
      <c r="AQ208">
        <v>32</v>
      </c>
      <c r="AR208">
        <v>80</v>
      </c>
      <c r="AS208">
        <v>2</v>
      </c>
      <c r="AT208">
        <v>276</v>
      </c>
      <c r="AU208">
        <v>6</v>
      </c>
      <c r="AV208">
        <v>1</v>
      </c>
      <c r="AW208" t="s">
        <v>68</v>
      </c>
      <c r="AX208" t="str">
        <f>HYPERLINK(".\links\PREV-RHOD-PEP\TI-482-PREV-RHOD-PEP.txt","Contig17955_3")</f>
        <v>Contig17955_3</v>
      </c>
      <c r="AY208" s="3">
        <v>3.0000000000000003E-39</v>
      </c>
      <c r="AZ208" t="s">
        <v>1010</v>
      </c>
      <c r="BA208">
        <v>156</v>
      </c>
      <c r="BB208">
        <v>135</v>
      </c>
      <c r="BC208">
        <v>371</v>
      </c>
      <c r="BD208">
        <v>51</v>
      </c>
      <c r="BE208">
        <v>37</v>
      </c>
      <c r="BF208">
        <v>66</v>
      </c>
      <c r="BG208">
        <v>1</v>
      </c>
      <c r="BH208">
        <v>235</v>
      </c>
      <c r="BI208">
        <v>1</v>
      </c>
      <c r="BJ208">
        <v>1</v>
      </c>
      <c r="BK208" t="s">
        <v>386</v>
      </c>
      <c r="BL208">
        <f>HYPERLINK(".\links\GO\TI-482-GO.txt",3E-22)</f>
        <v>2.9999999999999999E-22</v>
      </c>
      <c r="BM208" t="s">
        <v>387</v>
      </c>
      <c r="BN208" t="s">
        <v>345</v>
      </c>
      <c r="BO208" t="s">
        <v>349</v>
      </c>
      <c r="BP208" t="s">
        <v>388</v>
      </c>
      <c r="BQ208" s="3">
        <v>2.9999999999999999E-22</v>
      </c>
      <c r="BR208" t="s">
        <v>389</v>
      </c>
      <c r="BS208" t="s">
        <v>323</v>
      </c>
      <c r="BT208" t="s">
        <v>390</v>
      </c>
      <c r="BU208" t="s">
        <v>391</v>
      </c>
      <c r="BV208" s="3">
        <v>2.9999999999999999E-22</v>
      </c>
      <c r="BW208" t="s">
        <v>392</v>
      </c>
      <c r="BX208" t="s">
        <v>345</v>
      </c>
      <c r="BY208" t="s">
        <v>349</v>
      </c>
      <c r="BZ208" t="s">
        <v>393</v>
      </c>
      <c r="CA208" s="3">
        <v>2.9999999999999999E-22</v>
      </c>
      <c r="CB208" t="s">
        <v>8</v>
      </c>
      <c r="CC208"/>
      <c r="CD208"/>
      <c r="CE208" t="s">
        <v>8</v>
      </c>
      <c r="CF208"/>
      <c r="CG208"/>
      <c r="CH208" t="s">
        <v>8</v>
      </c>
      <c r="CI208"/>
      <c r="CJ208" t="s">
        <v>8</v>
      </c>
      <c r="CK208"/>
      <c r="CL208" t="s">
        <v>8</v>
      </c>
      <c r="CM208"/>
      <c r="CN208" t="s">
        <v>8</v>
      </c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 t="s">
        <v>8</v>
      </c>
      <c r="DC208"/>
      <c r="DD208"/>
      <c r="DE208"/>
      <c r="DF208"/>
      <c r="DG208"/>
      <c r="DH208"/>
      <c r="DI208"/>
      <c r="DJ208"/>
      <c r="DK208"/>
      <c r="DL208"/>
      <c r="DM208"/>
      <c r="DN208"/>
      <c r="DO208"/>
    </row>
    <row r="209" spans="1:119" s="6" customFormat="1">
      <c r="A209" t="str">
        <f>HYPERLINK(".\links\pep\TI-48-pep.txt","TI-48")</f>
        <v>TI-48</v>
      </c>
      <c r="B209">
        <v>48</v>
      </c>
      <c r="C209" t="s">
        <v>19</v>
      </c>
      <c r="D209">
        <v>188</v>
      </c>
      <c r="E209">
        <v>0</v>
      </c>
      <c r="F209" t="str">
        <f>HYPERLINK(".\links\cds\TI-48-cds.txt","TI-48")</f>
        <v>TI-48</v>
      </c>
      <c r="G209">
        <v>567</v>
      </c>
      <c r="H209"/>
      <c r="I209" t="s">
        <v>8</v>
      </c>
      <c r="J209" t="s">
        <v>6</v>
      </c>
      <c r="K209">
        <v>1</v>
      </c>
      <c r="L209">
        <v>0</v>
      </c>
      <c r="M209">
        <f t="shared" si="4"/>
        <v>1</v>
      </c>
      <c r="N209" t="s">
        <v>1258</v>
      </c>
      <c r="O209" t="s">
        <v>1178</v>
      </c>
      <c r="P209" t="str">
        <f>HYPERLINK(".\links\NR-LIGHT\TI-48-NR-LIGHT.txt","NR-LIGHT")</f>
        <v>NR-LIGHT</v>
      </c>
      <c r="Q209" s="3">
        <v>8.0000000000000006E-18</v>
      </c>
      <c r="R209">
        <v>38.5</v>
      </c>
      <c r="S209" t="str">
        <f>HYPERLINK(".\links\NR-LIGHT\TI-48-NR-LIGHT.txt","similar to AGAP004450-PA")</f>
        <v>similar to AGAP004450-PA</v>
      </c>
      <c r="T209" t="str">
        <f>HYPERLINK("http://www.ncbi.nlm.nih.gov/sutils/blink.cgi?pid=91081053","8E-018")</f>
        <v>8E-018</v>
      </c>
      <c r="U209" t="str">
        <f>HYPERLINK("http://www.ncbi.nlm.nih.gov/protein/91081053","gi|91081053")</f>
        <v>gi|91081053</v>
      </c>
      <c r="V209">
        <v>92</v>
      </c>
      <c r="W209">
        <v>121</v>
      </c>
      <c r="X209">
        <v>322</v>
      </c>
      <c r="Y209">
        <v>40</v>
      </c>
      <c r="Z209">
        <v>38</v>
      </c>
      <c r="AA209">
        <v>74</v>
      </c>
      <c r="AB209">
        <v>2</v>
      </c>
      <c r="AC209">
        <v>144</v>
      </c>
      <c r="AD209">
        <v>49</v>
      </c>
      <c r="AE209">
        <v>1</v>
      </c>
      <c r="AF209"/>
      <c r="AG209" t="s">
        <v>13</v>
      </c>
      <c r="AH209" t="s">
        <v>51</v>
      </c>
      <c r="AI209" t="s">
        <v>266</v>
      </c>
      <c r="AJ209" t="str">
        <f>HYPERLINK(".\links\SWISSP\TI-48-SWISSP.txt","Estradiol 17-beta-dehydrogenase 2 OS=Rattus norvegicus GN=Hsd17b2 PE=2 SV=1")</f>
        <v>Estradiol 17-beta-dehydrogenase 2 OS=Rattus norvegicus GN=Hsd17b2 PE=2 SV=1</v>
      </c>
      <c r="AK209" t="str">
        <f>HYPERLINK("http://www.uniprot.org/uniprot/Q62730","0.003")</f>
        <v>0.003</v>
      </c>
      <c r="AL209" t="s">
        <v>122</v>
      </c>
      <c r="AM209">
        <v>41.6</v>
      </c>
      <c r="AN209">
        <v>103</v>
      </c>
      <c r="AO209">
        <v>381</v>
      </c>
      <c r="AP209">
        <v>31</v>
      </c>
      <c r="AQ209">
        <v>27</v>
      </c>
      <c r="AR209">
        <v>75</v>
      </c>
      <c r="AS209">
        <v>11</v>
      </c>
      <c r="AT209">
        <v>161</v>
      </c>
      <c r="AU209">
        <v>49</v>
      </c>
      <c r="AV209">
        <v>1</v>
      </c>
      <c r="AW209" t="s">
        <v>74</v>
      </c>
      <c r="AX209" t="str">
        <f>HYPERLINK(".\links\PREV-RHOD-PEP\TI-48-PREV-RHOD-PEP.txt","Contig17851_114")</f>
        <v>Contig17851_114</v>
      </c>
      <c r="AY209" s="3">
        <v>1E-56</v>
      </c>
      <c r="AZ209" t="s">
        <v>1033</v>
      </c>
      <c r="BA209">
        <v>214</v>
      </c>
      <c r="BB209">
        <v>125</v>
      </c>
      <c r="BC209">
        <v>213</v>
      </c>
      <c r="BD209">
        <v>84</v>
      </c>
      <c r="BE209">
        <v>59</v>
      </c>
      <c r="BF209">
        <v>19</v>
      </c>
      <c r="BG209">
        <v>0</v>
      </c>
      <c r="BH209">
        <v>13</v>
      </c>
      <c r="BI209">
        <v>47</v>
      </c>
      <c r="BJ209">
        <v>1</v>
      </c>
      <c r="BK209" t="s">
        <v>540</v>
      </c>
      <c r="BL209">
        <f>HYPERLINK(".\links\GO\TI-48-GO.txt",0.00000000003)</f>
        <v>3E-11</v>
      </c>
      <c r="BM209" t="s">
        <v>8</v>
      </c>
      <c r="BN209" t="s">
        <v>8</v>
      </c>
      <c r="BO209" t="s">
        <v>8</v>
      </c>
      <c r="BP209" t="s">
        <v>8</v>
      </c>
      <c r="BQ209" t="s">
        <v>8</v>
      </c>
      <c r="BR209" t="s">
        <v>375</v>
      </c>
      <c r="BS209" t="s">
        <v>375</v>
      </c>
      <c r="BT209"/>
      <c r="BU209" t="s">
        <v>376</v>
      </c>
      <c r="BV209">
        <v>0.01</v>
      </c>
      <c r="BW209" t="s">
        <v>8</v>
      </c>
      <c r="BX209" t="s">
        <v>8</v>
      </c>
      <c r="BY209" t="s">
        <v>8</v>
      </c>
      <c r="BZ209" t="s">
        <v>8</v>
      </c>
      <c r="CA209" t="s">
        <v>8</v>
      </c>
      <c r="CB209" t="s">
        <v>8</v>
      </c>
      <c r="CC209"/>
      <c r="CD209"/>
      <c r="CE209" t="s">
        <v>8</v>
      </c>
      <c r="CF209"/>
      <c r="CG209"/>
      <c r="CH209" t="s">
        <v>8</v>
      </c>
      <c r="CI209"/>
      <c r="CJ209" t="s">
        <v>8</v>
      </c>
      <c r="CK209"/>
      <c r="CL209" t="s">
        <v>8</v>
      </c>
      <c r="CM209"/>
      <c r="CN209" t="s">
        <v>8</v>
      </c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 t="s">
        <v>8</v>
      </c>
      <c r="DC209"/>
      <c r="DD209"/>
      <c r="DE209"/>
      <c r="DF209"/>
      <c r="DG209"/>
      <c r="DH209"/>
      <c r="DI209"/>
      <c r="DJ209"/>
      <c r="DK209"/>
      <c r="DL209"/>
      <c r="DM209"/>
      <c r="DN209"/>
      <c r="DO209"/>
    </row>
    <row r="210" spans="1:119" s="6" customFormat="1">
      <c r="A210" s="6" t="str">
        <f>HYPERLINK(".\links\pep\TI-476-pep.txt","TI-476")</f>
        <v>TI-476</v>
      </c>
      <c r="B210" s="6">
        <v>476</v>
      </c>
      <c r="C210" s="6" t="s">
        <v>16</v>
      </c>
      <c r="D210" s="6">
        <v>23</v>
      </c>
      <c r="E210" s="6">
        <v>0</v>
      </c>
      <c r="F210" s="6" t="str">
        <f>HYPERLINK(".\links\cds\TI-476-cds.txt","TI-476")</f>
        <v>TI-476</v>
      </c>
      <c r="G210" s="6">
        <v>72</v>
      </c>
      <c r="I210" s="6" t="s">
        <v>8</v>
      </c>
      <c r="J210" s="6" t="s">
        <v>6</v>
      </c>
      <c r="K210" s="6">
        <v>1</v>
      </c>
      <c r="L210" s="6">
        <v>0</v>
      </c>
      <c r="M210" s="6">
        <f t="shared" si="4"/>
        <v>1</v>
      </c>
      <c r="N210" s="6" t="s">
        <v>1170</v>
      </c>
      <c r="O210" s="6" t="s">
        <v>1171</v>
      </c>
      <c r="S210" s="6" t="s">
        <v>8</v>
      </c>
      <c r="AJ210" s="6" t="s">
        <v>8</v>
      </c>
      <c r="AX210" s="6" t="s">
        <v>8</v>
      </c>
      <c r="BK210" s="6" t="s">
        <v>8</v>
      </c>
      <c r="CB210" s="6" t="s">
        <v>8</v>
      </c>
      <c r="CE210" s="6" t="s">
        <v>8</v>
      </c>
      <c r="CH210" s="6" t="s">
        <v>8</v>
      </c>
      <c r="CJ210" s="6" t="s">
        <v>8</v>
      </c>
      <c r="CL210" s="6" t="s">
        <v>8</v>
      </c>
      <c r="CN210" s="6" t="s">
        <v>8</v>
      </c>
      <c r="DB210" s="6" t="s">
        <v>8</v>
      </c>
    </row>
    <row r="211" spans="1:119" s="6" customFormat="1">
      <c r="A211" s="6" t="str">
        <f>HYPERLINK(".\links\pep\TI-475-pep.txt","TI-475")</f>
        <v>TI-475</v>
      </c>
      <c r="B211" s="6">
        <v>475</v>
      </c>
      <c r="C211" s="6" t="s">
        <v>12</v>
      </c>
      <c r="D211" s="6">
        <v>15</v>
      </c>
      <c r="E211" s="6">
        <v>0</v>
      </c>
      <c r="F211" s="6" t="str">
        <f>HYPERLINK(".\links\cds\TI-475-cds.txt","TI-475")</f>
        <v>TI-475</v>
      </c>
      <c r="G211" s="6">
        <v>48</v>
      </c>
      <c r="I211" s="6" t="s">
        <v>8</v>
      </c>
      <c r="J211" s="6" t="s">
        <v>6</v>
      </c>
      <c r="K211" s="6">
        <v>1</v>
      </c>
      <c r="L211" s="6">
        <v>0</v>
      </c>
      <c r="M211" s="6">
        <f t="shared" si="4"/>
        <v>1</v>
      </c>
      <c r="N211" s="6" t="s">
        <v>1170</v>
      </c>
      <c r="O211" s="6" t="s">
        <v>1171</v>
      </c>
      <c r="S211" s="6" t="s">
        <v>8</v>
      </c>
      <c r="AJ211" s="6" t="s">
        <v>8</v>
      </c>
      <c r="AX211" s="6" t="s">
        <v>8</v>
      </c>
      <c r="BK211" s="6" t="s">
        <v>8</v>
      </c>
      <c r="CB211" s="6" t="s">
        <v>8</v>
      </c>
      <c r="CE211" s="6" t="s">
        <v>8</v>
      </c>
      <c r="CH211" s="6" t="s">
        <v>8</v>
      </c>
      <c r="CJ211" s="6" t="s">
        <v>8</v>
      </c>
      <c r="CL211" s="6" t="s">
        <v>8</v>
      </c>
      <c r="CN211" s="6" t="s">
        <v>8</v>
      </c>
      <c r="DB211" s="6" t="s">
        <v>8</v>
      </c>
    </row>
    <row r="212" spans="1:119" s="6" customFormat="1">
      <c r="A212" t="str">
        <f>HYPERLINK(".\links\pep\TI-474-pep.txt","TI-474")</f>
        <v>TI-474</v>
      </c>
      <c r="B212">
        <v>474</v>
      </c>
      <c r="C212" t="s">
        <v>10</v>
      </c>
      <c r="D212">
        <v>206</v>
      </c>
      <c r="E212">
        <v>0</v>
      </c>
      <c r="F212" t="str">
        <f>HYPERLINK(".\links\cds\TI-474-cds.txt","TI-474")</f>
        <v>TI-474</v>
      </c>
      <c r="G212">
        <v>621</v>
      </c>
      <c r="H212"/>
      <c r="I212" t="s">
        <v>8</v>
      </c>
      <c r="J212" t="s">
        <v>6</v>
      </c>
      <c r="K212">
        <v>4</v>
      </c>
      <c r="L212">
        <v>0</v>
      </c>
      <c r="M212">
        <f t="shared" si="4"/>
        <v>4</v>
      </c>
      <c r="N212" t="s">
        <v>1341</v>
      </c>
      <c r="O212" t="s">
        <v>1181</v>
      </c>
      <c r="P212" t="str">
        <f>HYPERLINK(".\links\GO\TI-474-GO.txt","GO")</f>
        <v>GO</v>
      </c>
      <c r="Q212" s="3">
        <v>2.0000000000000002E-30</v>
      </c>
      <c r="R212">
        <v>96</v>
      </c>
      <c r="S212" t="str">
        <f>HYPERLINK(".\links\NR-LIGHT\TI-474-NR-LIGHT.txt","protein lethal, putative")</f>
        <v>protein lethal, putative</v>
      </c>
      <c r="T212" t="str">
        <f>HYPERLINK("http://www.ncbi.nlm.nih.gov/sutils/blink.cgi?pid=242005722","2E-051")</f>
        <v>2E-051</v>
      </c>
      <c r="U212" t="str">
        <f>HYPERLINK("http://www.ncbi.nlm.nih.gov/protein/242005722","gi|242005722")</f>
        <v>gi|242005722</v>
      </c>
      <c r="V212">
        <v>204</v>
      </c>
      <c r="W212">
        <v>174</v>
      </c>
      <c r="X212">
        <v>211</v>
      </c>
      <c r="Y212">
        <v>56</v>
      </c>
      <c r="Z212">
        <v>83</v>
      </c>
      <c r="AA212">
        <v>78</v>
      </c>
      <c r="AB212">
        <v>4</v>
      </c>
      <c r="AC212">
        <v>23</v>
      </c>
      <c r="AD212">
        <v>21</v>
      </c>
      <c r="AE212">
        <v>1</v>
      </c>
      <c r="AF212"/>
      <c r="AG212" t="s">
        <v>13</v>
      </c>
      <c r="AH212" t="s">
        <v>51</v>
      </c>
      <c r="AI212" t="s">
        <v>268</v>
      </c>
      <c r="AJ212" t="str">
        <f>HYPERLINK(".\links\SWISSP\TI-474-SWISSP.txt","Protein lethal(2)essential for life OS=Drosophila melanogaster GN=l(2)efl PE=1")</f>
        <v>Protein lethal(2)essential for life OS=Drosophila melanogaster GN=l(2)efl PE=1</v>
      </c>
      <c r="AK212" t="str">
        <f>HYPERLINK("http://www.uniprot.org/uniprot/P82147","9E-038")</f>
        <v>9E-038</v>
      </c>
      <c r="AL212" t="s">
        <v>241</v>
      </c>
      <c r="AM212">
        <v>156</v>
      </c>
      <c r="AN212">
        <v>184</v>
      </c>
      <c r="AO212">
        <v>187</v>
      </c>
      <c r="AP212">
        <v>43</v>
      </c>
      <c r="AQ212">
        <v>99</v>
      </c>
      <c r="AR212">
        <v>105</v>
      </c>
      <c r="AS212">
        <v>6</v>
      </c>
      <c r="AT212">
        <v>1</v>
      </c>
      <c r="AU212">
        <v>21</v>
      </c>
      <c r="AV212">
        <v>1</v>
      </c>
      <c r="AW212" t="s">
        <v>52</v>
      </c>
      <c r="AX212" t="str">
        <f>HYPERLINK(".\links\PREV-RHOD-PEP\TI-474-PREV-RHOD-PEP.txt","Contig3102_2")</f>
        <v>Contig3102_2</v>
      </c>
      <c r="AY212" s="3">
        <v>1E-99</v>
      </c>
      <c r="AZ212" t="s">
        <v>1150</v>
      </c>
      <c r="BA212">
        <v>358</v>
      </c>
      <c r="BB212">
        <v>184</v>
      </c>
      <c r="BC212">
        <v>185</v>
      </c>
      <c r="BD212">
        <v>91</v>
      </c>
      <c r="BE212">
        <v>100</v>
      </c>
      <c r="BF212">
        <v>16</v>
      </c>
      <c r="BG212">
        <v>0</v>
      </c>
      <c r="BH212">
        <v>1</v>
      </c>
      <c r="BI212">
        <v>21</v>
      </c>
      <c r="BJ212">
        <v>1</v>
      </c>
      <c r="BK212" t="s">
        <v>939</v>
      </c>
      <c r="BL212">
        <f>HYPERLINK(".\links\GO\TI-474-GO.txt",3E-38)</f>
        <v>2.9999999999999999E-38</v>
      </c>
      <c r="BM212" t="s">
        <v>940</v>
      </c>
      <c r="BN212" t="s">
        <v>330</v>
      </c>
      <c r="BO212" t="s">
        <v>941</v>
      </c>
      <c r="BP212" t="s">
        <v>942</v>
      </c>
      <c r="BQ212" s="3">
        <v>2.0000000000000002E-30</v>
      </c>
      <c r="BR212" t="s">
        <v>943</v>
      </c>
      <c r="BS212" t="s">
        <v>323</v>
      </c>
      <c r="BT212" t="s">
        <v>390</v>
      </c>
      <c r="BU212" t="s">
        <v>944</v>
      </c>
      <c r="BV212" s="3">
        <v>2.0000000000000002E-30</v>
      </c>
      <c r="BW212" t="s">
        <v>945</v>
      </c>
      <c r="BX212" t="s">
        <v>330</v>
      </c>
      <c r="BY212" t="s">
        <v>941</v>
      </c>
      <c r="BZ212" t="s">
        <v>946</v>
      </c>
      <c r="CA212" s="3">
        <v>2.0000000000000002E-30</v>
      </c>
      <c r="CB212" t="s">
        <v>8</v>
      </c>
      <c r="CC212"/>
      <c r="CD212"/>
      <c r="CE212" t="s">
        <v>8</v>
      </c>
      <c r="CF212"/>
      <c r="CG212"/>
      <c r="CH212" t="s">
        <v>8</v>
      </c>
      <c r="CI212"/>
      <c r="CJ212" t="s">
        <v>8</v>
      </c>
      <c r="CK212"/>
      <c r="CL212" t="s">
        <v>8</v>
      </c>
      <c r="CM212"/>
      <c r="CN212" t="s">
        <v>8</v>
      </c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 t="s">
        <v>8</v>
      </c>
      <c r="DC212"/>
      <c r="DD212"/>
      <c r="DE212"/>
      <c r="DF212"/>
      <c r="DG212"/>
      <c r="DH212"/>
      <c r="DI212"/>
      <c r="DJ212"/>
      <c r="DK212"/>
      <c r="DL212"/>
      <c r="DM212"/>
      <c r="DN212"/>
      <c r="DO212"/>
    </row>
    <row r="213" spans="1:119" s="6" customFormat="1">
      <c r="A213" t="str">
        <f>HYPERLINK(".\links\pep\TI-47-pep.txt","TI-47")</f>
        <v>TI-47</v>
      </c>
      <c r="B213">
        <v>47</v>
      </c>
      <c r="C213" t="s">
        <v>7</v>
      </c>
      <c r="D213">
        <v>133</v>
      </c>
      <c r="E213">
        <v>0</v>
      </c>
      <c r="F213" t="str">
        <f>HYPERLINK(".\links\cds\TI-47-cds.txt","TI-47")</f>
        <v>TI-47</v>
      </c>
      <c r="G213">
        <v>402</v>
      </c>
      <c r="H213"/>
      <c r="I213" t="s">
        <v>29</v>
      </c>
      <c r="J213" t="s">
        <v>6</v>
      </c>
      <c r="K213">
        <v>1</v>
      </c>
      <c r="L213">
        <v>0</v>
      </c>
      <c r="M213">
        <f t="shared" si="4"/>
        <v>1</v>
      </c>
      <c r="N213" t="s">
        <v>1257</v>
      </c>
      <c r="O213" t="s">
        <v>1178</v>
      </c>
      <c r="P213" t="str">
        <f>HYPERLINK(".\links\NR-LIGHT\TI-47-NR-LIGHT.txt","NR-LIGHT")</f>
        <v>NR-LIGHT</v>
      </c>
      <c r="Q213" s="3">
        <v>6E-37</v>
      </c>
      <c r="R213">
        <v>97</v>
      </c>
      <c r="S213" t="str">
        <f>HYPERLINK(".\links\NR-LIGHT\TI-47-NR-LIGHT.txt","heme-binding protein")</f>
        <v>heme-binding protein</v>
      </c>
      <c r="T213" t="str">
        <f>HYPERLINK("http://www.ncbi.nlm.nih.gov/sutils/blink.cgi?pid=149689110","6E-037")</f>
        <v>6E-037</v>
      </c>
      <c r="U213" t="str">
        <f>HYPERLINK("http://www.ncbi.nlm.nih.gov/protein/149689110","gi|149689110")</f>
        <v>gi|149689110</v>
      </c>
      <c r="V213">
        <v>154</v>
      </c>
      <c r="W213">
        <v>139</v>
      </c>
      <c r="X213">
        <v>143</v>
      </c>
      <c r="Y213">
        <v>55</v>
      </c>
      <c r="Z213">
        <v>98</v>
      </c>
      <c r="AA213">
        <v>63</v>
      </c>
      <c r="AB213">
        <v>7</v>
      </c>
      <c r="AC213">
        <v>1</v>
      </c>
      <c r="AD213">
        <v>1</v>
      </c>
      <c r="AE213">
        <v>1</v>
      </c>
      <c r="AF213"/>
      <c r="AG213" t="s">
        <v>13</v>
      </c>
      <c r="AH213" t="s">
        <v>51</v>
      </c>
      <c r="AI213" t="s">
        <v>273</v>
      </c>
      <c r="AJ213" t="s">
        <v>8</v>
      </c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 t="str">
        <f>HYPERLINK(".\links\PREV-RHOD-PEP\TI-47-PREV-RHOD-PEP.txt","Contig18036_44")</f>
        <v>Contig18036_44</v>
      </c>
      <c r="AY213" s="3">
        <v>1.0000000000000001E-17</v>
      </c>
      <c r="AZ213" t="s">
        <v>1037</v>
      </c>
      <c r="BA213">
        <v>84.3</v>
      </c>
      <c r="BB213">
        <v>127</v>
      </c>
      <c r="BC213">
        <v>128</v>
      </c>
      <c r="BD213">
        <v>37</v>
      </c>
      <c r="BE213">
        <v>100</v>
      </c>
      <c r="BF213">
        <v>80</v>
      </c>
      <c r="BG213">
        <v>3</v>
      </c>
      <c r="BH213">
        <v>1</v>
      </c>
      <c r="BI213">
        <v>1</v>
      </c>
      <c r="BJ213">
        <v>1</v>
      </c>
      <c r="BK213" t="s">
        <v>555</v>
      </c>
      <c r="BL213">
        <f>HYPERLINK(".\links\GO\TI-47-GO.txt",0.004)</f>
        <v>4.0000000000000001E-3</v>
      </c>
      <c r="BM213" t="s">
        <v>556</v>
      </c>
      <c r="BN213" t="s">
        <v>340</v>
      </c>
      <c r="BO213" t="s">
        <v>557</v>
      </c>
      <c r="BP213" t="s">
        <v>558</v>
      </c>
      <c r="BQ213">
        <v>4.0000000000000001E-3</v>
      </c>
      <c r="BR213" t="s">
        <v>501</v>
      </c>
      <c r="BS213" t="s">
        <v>501</v>
      </c>
      <c r="BT213"/>
      <c r="BU213" t="s">
        <v>502</v>
      </c>
      <c r="BV213">
        <v>4.0000000000000001E-3</v>
      </c>
      <c r="BW213" t="s">
        <v>559</v>
      </c>
      <c r="BX213" t="s">
        <v>340</v>
      </c>
      <c r="BY213" t="s">
        <v>557</v>
      </c>
      <c r="BZ213" t="s">
        <v>560</v>
      </c>
      <c r="CA213">
        <v>4.0000000000000001E-3</v>
      </c>
      <c r="CB213" t="s">
        <v>8</v>
      </c>
      <c r="CC213"/>
      <c r="CD213"/>
      <c r="CE213" t="s">
        <v>8</v>
      </c>
      <c r="CF213"/>
      <c r="CG213"/>
      <c r="CH213" t="s">
        <v>8</v>
      </c>
      <c r="CI213"/>
      <c r="CJ213" t="s">
        <v>8</v>
      </c>
      <c r="CK213"/>
      <c r="CL213" t="s">
        <v>8</v>
      </c>
      <c r="CM213"/>
      <c r="CN213" t="s">
        <v>8</v>
      </c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 t="s">
        <v>8</v>
      </c>
      <c r="DC213"/>
      <c r="DD213"/>
      <c r="DE213"/>
      <c r="DF213"/>
      <c r="DG213"/>
      <c r="DH213"/>
      <c r="DI213"/>
      <c r="DJ213"/>
      <c r="DK213"/>
      <c r="DL213"/>
      <c r="DM213"/>
      <c r="DN213"/>
      <c r="DO213"/>
    </row>
    <row r="214" spans="1:119" s="6" customFormat="1">
      <c r="A214" t="str">
        <f>HYPERLINK(".\links\pep\TI-467-pep.txt","TI-467")</f>
        <v>TI-467</v>
      </c>
      <c r="B214">
        <v>467</v>
      </c>
      <c r="C214" t="s">
        <v>7</v>
      </c>
      <c r="D214">
        <v>143</v>
      </c>
      <c r="E214">
        <v>0</v>
      </c>
      <c r="F214" t="str">
        <f>HYPERLINK(".\links\cds\TI-467-cds.txt","TI-467")</f>
        <v>TI-467</v>
      </c>
      <c r="G214">
        <v>428</v>
      </c>
      <c r="H214"/>
      <c r="I214" t="s">
        <v>29</v>
      </c>
      <c r="J214" t="s">
        <v>8</v>
      </c>
      <c r="K214">
        <v>1</v>
      </c>
      <c r="L214">
        <v>0</v>
      </c>
      <c r="M214">
        <f t="shared" si="4"/>
        <v>1</v>
      </c>
      <c r="N214" t="s">
        <v>1339</v>
      </c>
      <c r="O214" t="s">
        <v>1178</v>
      </c>
      <c r="P214" t="str">
        <f>HYPERLINK(".\links\NR-LIGHT\TI-467-NR-LIGHT.txt","NR-LIGHT")</f>
        <v>NR-LIGHT</v>
      </c>
      <c r="Q214" s="3">
        <v>4.9999999999999996E-25</v>
      </c>
      <c r="R214">
        <v>76.400000000000006</v>
      </c>
      <c r="S214" t="str">
        <f>HYPERLINK(".\links\NR-LIGHT\TI-467-NR-LIGHT.txt","box H/ACA snoRNP, putative")</f>
        <v>box H/ACA snoRNP, putative</v>
      </c>
      <c r="T214" t="str">
        <f>HYPERLINK("http://www.ncbi.nlm.nih.gov/sutils/blink.cgi?pid=241855547","5E-025")</f>
        <v>5E-025</v>
      </c>
      <c r="U214" t="str">
        <f>HYPERLINK("http://www.ncbi.nlm.nih.gov/protein/241855547","gi|241855547")</f>
        <v>gi|241855547</v>
      </c>
      <c r="V214">
        <v>115</v>
      </c>
      <c r="W214">
        <v>139</v>
      </c>
      <c r="X214">
        <v>187</v>
      </c>
      <c r="Y214">
        <v>44</v>
      </c>
      <c r="Z214">
        <v>75</v>
      </c>
      <c r="AA214">
        <v>79</v>
      </c>
      <c r="AB214">
        <v>3</v>
      </c>
      <c r="AC214">
        <v>1</v>
      </c>
      <c r="AD214">
        <v>1</v>
      </c>
      <c r="AE214">
        <v>1</v>
      </c>
      <c r="AF214"/>
      <c r="AG214" t="s">
        <v>13</v>
      </c>
      <c r="AH214" t="s">
        <v>51</v>
      </c>
      <c r="AI214" t="s">
        <v>281</v>
      </c>
      <c r="AJ214" t="str">
        <f>HYPERLINK(".\links\SWISSP\TI-467-SWISSP.txt","H/ACA ribonucleoprotein complex subunit 2-like protein OS=Drosophila")</f>
        <v>H/ACA ribonucleoprotein complex subunit 2-like protein OS=Drosophila</v>
      </c>
      <c r="AK214" t="str">
        <f>HYPERLINK("http://www.uniprot.org/uniprot/Q9V3U2","1E-017")</f>
        <v>1E-017</v>
      </c>
      <c r="AL214" t="s">
        <v>239</v>
      </c>
      <c r="AM214">
        <v>88.6</v>
      </c>
      <c r="AN214">
        <v>93</v>
      </c>
      <c r="AO214">
        <v>160</v>
      </c>
      <c r="AP214">
        <v>46</v>
      </c>
      <c r="AQ214">
        <v>59</v>
      </c>
      <c r="AR214">
        <v>50</v>
      </c>
      <c r="AS214">
        <v>3</v>
      </c>
      <c r="AT214">
        <v>19</v>
      </c>
      <c r="AU214">
        <v>52</v>
      </c>
      <c r="AV214">
        <v>1</v>
      </c>
      <c r="AW214" t="s">
        <v>52</v>
      </c>
      <c r="AX214" t="str">
        <f>HYPERLINK(".\links\PREV-RHOD-PEP\TI-467-PREV-RHOD-PEP.txt","Contig18001_14")</f>
        <v>Contig18001_14</v>
      </c>
      <c r="AY214" s="3">
        <v>1.0000000000000001E-17</v>
      </c>
      <c r="AZ214" t="s">
        <v>1146</v>
      </c>
      <c r="BA214">
        <v>84.7</v>
      </c>
      <c r="BB214">
        <v>85</v>
      </c>
      <c r="BC214">
        <v>161</v>
      </c>
      <c r="BD214">
        <v>46</v>
      </c>
      <c r="BE214">
        <v>53</v>
      </c>
      <c r="BF214">
        <v>46</v>
      </c>
      <c r="BG214">
        <v>0</v>
      </c>
      <c r="BH214">
        <v>28</v>
      </c>
      <c r="BI214">
        <v>57</v>
      </c>
      <c r="BJ214">
        <v>1</v>
      </c>
      <c r="BK214" t="s">
        <v>925</v>
      </c>
      <c r="BL214">
        <f>HYPERLINK(".\links\GO\TI-467-GO.txt",0.000000000000000003)</f>
        <v>2.9999999999999998E-18</v>
      </c>
      <c r="BM214" t="s">
        <v>926</v>
      </c>
      <c r="BN214" t="s">
        <v>340</v>
      </c>
      <c r="BO214" t="s">
        <v>468</v>
      </c>
      <c r="BP214" t="s">
        <v>927</v>
      </c>
      <c r="BQ214" s="3">
        <v>2.9999999999999998E-18</v>
      </c>
      <c r="BR214" t="s">
        <v>513</v>
      </c>
      <c r="BS214" t="s">
        <v>477</v>
      </c>
      <c r="BT214" t="s">
        <v>477</v>
      </c>
      <c r="BU214" t="s">
        <v>514</v>
      </c>
      <c r="BV214" s="3">
        <v>2.9999999999999998E-18</v>
      </c>
      <c r="BW214" t="s">
        <v>515</v>
      </c>
      <c r="BX214" t="s">
        <v>340</v>
      </c>
      <c r="BY214" t="s">
        <v>468</v>
      </c>
      <c r="BZ214" t="s">
        <v>516</v>
      </c>
      <c r="CA214" s="3">
        <v>2.9999999999999998E-18</v>
      </c>
      <c r="CB214" t="s">
        <v>8</v>
      </c>
      <c r="CC214"/>
      <c r="CD214"/>
      <c r="CE214" t="s">
        <v>8</v>
      </c>
      <c r="CF214"/>
      <c r="CG214"/>
      <c r="CH214" t="s">
        <v>8</v>
      </c>
      <c r="CI214"/>
      <c r="CJ214" t="s">
        <v>8</v>
      </c>
      <c r="CK214"/>
      <c r="CL214" t="s">
        <v>8</v>
      </c>
      <c r="CM214"/>
      <c r="CN214" t="s">
        <v>8</v>
      </c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 t="s">
        <v>8</v>
      </c>
      <c r="DC214"/>
      <c r="DD214"/>
      <c r="DE214"/>
      <c r="DF214"/>
      <c r="DG214"/>
      <c r="DH214"/>
      <c r="DI214"/>
      <c r="DJ214"/>
      <c r="DK214"/>
      <c r="DL214"/>
      <c r="DM214"/>
      <c r="DN214"/>
      <c r="DO214"/>
    </row>
    <row r="215" spans="1:119" s="6" customFormat="1">
      <c r="A215" s="6" t="str">
        <f>HYPERLINK(".\links\pep\TI-463-pep.txt","TI-463")</f>
        <v>TI-463</v>
      </c>
      <c r="B215" s="6">
        <v>463</v>
      </c>
      <c r="C215" s="6" t="s">
        <v>15</v>
      </c>
      <c r="D215" s="6">
        <v>21</v>
      </c>
      <c r="E215" s="6">
        <v>0</v>
      </c>
      <c r="F215" s="6" t="str">
        <f>HYPERLINK(".\links\cds\TI-463-cds.txt","TI-463")</f>
        <v>TI-463</v>
      </c>
      <c r="G215" s="6">
        <v>60</v>
      </c>
      <c r="I215" s="6" t="s">
        <v>8</v>
      </c>
      <c r="J215" s="6" t="s">
        <v>8</v>
      </c>
      <c r="K215" s="6">
        <v>1</v>
      </c>
      <c r="L215" s="6">
        <v>0</v>
      </c>
      <c r="M215" s="6">
        <f t="shared" si="4"/>
        <v>1</v>
      </c>
      <c r="N215" s="6" t="s">
        <v>1170</v>
      </c>
      <c r="O215" s="6" t="s">
        <v>1171</v>
      </c>
      <c r="S215" s="6" t="s">
        <v>8</v>
      </c>
      <c r="AJ215" s="6" t="s">
        <v>8</v>
      </c>
      <c r="AX215" s="6" t="s">
        <v>8</v>
      </c>
      <c r="BK215" s="6" t="s">
        <v>8</v>
      </c>
      <c r="CB215" s="6" t="s">
        <v>8</v>
      </c>
      <c r="CE215" s="6" t="s">
        <v>8</v>
      </c>
      <c r="CH215" s="6" t="s">
        <v>8</v>
      </c>
      <c r="CJ215" s="6" t="s">
        <v>8</v>
      </c>
      <c r="CL215" s="6" t="s">
        <v>8</v>
      </c>
      <c r="CN215" s="6" t="s">
        <v>8</v>
      </c>
      <c r="DB215" s="6" t="s">
        <v>8</v>
      </c>
    </row>
    <row r="216" spans="1:119" s="6" customFormat="1">
      <c r="A216" s="6" t="str">
        <f>HYPERLINK(".\links\pep\TI-462-pep.txt","TI-462")</f>
        <v>TI-462</v>
      </c>
      <c r="B216" s="6">
        <v>462</v>
      </c>
      <c r="C216" s="6" t="s">
        <v>15</v>
      </c>
      <c r="D216" s="6">
        <v>59</v>
      </c>
      <c r="E216" s="6">
        <v>0</v>
      </c>
      <c r="F216" s="6" t="str">
        <f>HYPERLINK(".\links\cds\TI-462-cds.txt","TI-462")</f>
        <v>TI-462</v>
      </c>
      <c r="G216" s="6">
        <v>180</v>
      </c>
      <c r="I216" s="6" t="s">
        <v>8</v>
      </c>
      <c r="J216" s="6" t="s">
        <v>6</v>
      </c>
      <c r="K216" s="6">
        <v>1</v>
      </c>
      <c r="L216" s="6">
        <v>0</v>
      </c>
      <c r="M216" s="6">
        <f t="shared" si="4"/>
        <v>1</v>
      </c>
      <c r="N216" s="6" t="s">
        <v>1170</v>
      </c>
      <c r="O216" s="6" t="s">
        <v>1171</v>
      </c>
      <c r="S216" s="6" t="str">
        <f>HYPERLINK(".\links\NR-LIGHT\TI-462-NR-LIGHT.txt","conserved hypothetical protein")</f>
        <v>conserved hypothetical protein</v>
      </c>
      <c r="T216" s="6" t="str">
        <f>HYPERLINK("http://www.ncbi.nlm.nih.gov/sutils/blink.cgi?pid=221485776","0.58")</f>
        <v>0.58</v>
      </c>
      <c r="U216" s="6" t="str">
        <f>HYPERLINK("http://www.ncbi.nlm.nih.gov/protein/221485776","gi|221485776")</f>
        <v>gi|221485776</v>
      </c>
      <c r="V216" s="6">
        <v>35.4</v>
      </c>
      <c r="W216" s="6">
        <v>50</v>
      </c>
      <c r="X216" s="6">
        <v>445</v>
      </c>
      <c r="Y216" s="6">
        <v>31</v>
      </c>
      <c r="Z216" s="6">
        <v>11</v>
      </c>
      <c r="AA216" s="6">
        <v>35</v>
      </c>
      <c r="AB216" s="6">
        <v>1</v>
      </c>
      <c r="AC216" s="6">
        <v>368</v>
      </c>
      <c r="AD216" s="6">
        <v>1</v>
      </c>
      <c r="AE216" s="6">
        <v>1</v>
      </c>
      <c r="AG216" s="6" t="s">
        <v>13</v>
      </c>
      <c r="AH216" s="6" t="s">
        <v>51</v>
      </c>
      <c r="AI216" s="6" t="s">
        <v>299</v>
      </c>
      <c r="AJ216" s="6" t="s">
        <v>8</v>
      </c>
      <c r="AX216" s="6" t="s">
        <v>8</v>
      </c>
      <c r="BK216" s="6" t="s">
        <v>8</v>
      </c>
      <c r="CB216" s="6" t="s">
        <v>8</v>
      </c>
      <c r="CE216" s="6" t="s">
        <v>8</v>
      </c>
      <c r="CH216" s="6" t="s">
        <v>8</v>
      </c>
      <c r="CJ216" s="6" t="s">
        <v>8</v>
      </c>
      <c r="CL216" s="6" t="s">
        <v>8</v>
      </c>
      <c r="CN216" s="6" t="s">
        <v>8</v>
      </c>
      <c r="DB216" s="6" t="s">
        <v>8</v>
      </c>
    </row>
    <row r="217" spans="1:119" s="6" customFormat="1">
      <c r="A217" t="str">
        <f>HYPERLINK(".\links\pep\TI-461-pep.txt","TI-461")</f>
        <v>TI-461</v>
      </c>
      <c r="B217">
        <v>461</v>
      </c>
      <c r="C217" t="s">
        <v>12</v>
      </c>
      <c r="D217">
        <v>75</v>
      </c>
      <c r="E217">
        <v>0</v>
      </c>
      <c r="F217" t="str">
        <f>HYPERLINK(".\links\cds\TI-461-cds.txt","TI-461")</f>
        <v>TI-461</v>
      </c>
      <c r="G217">
        <v>228</v>
      </c>
      <c r="H217"/>
      <c r="I217" t="s">
        <v>8</v>
      </c>
      <c r="J217" t="s">
        <v>6</v>
      </c>
      <c r="K217">
        <v>1</v>
      </c>
      <c r="L217">
        <v>0</v>
      </c>
      <c r="M217">
        <f t="shared" si="4"/>
        <v>1</v>
      </c>
      <c r="N217" t="s">
        <v>1235</v>
      </c>
      <c r="O217" t="s">
        <v>1208</v>
      </c>
      <c r="P217" t="str">
        <f>HYPERLINK(".\links\GO\TI-461-GO.txt","GO")</f>
        <v>GO</v>
      </c>
      <c r="Q217">
        <v>2.9999999999999998E-13</v>
      </c>
      <c r="R217">
        <v>34</v>
      </c>
      <c r="S217" t="str">
        <f>HYPERLINK(".\links\NR-LIGHT\TI-461-NR-LIGHT.txt","hypothetical protein BRAFLDRAFT_108193")</f>
        <v>hypothetical protein BRAFLDRAFT_108193</v>
      </c>
      <c r="T217" t="str">
        <f>HYPERLINK("http://www.ncbi.nlm.nih.gov/sutils/blink.cgi?pid=260822352","4E-015")</f>
        <v>4E-015</v>
      </c>
      <c r="U217" t="str">
        <f>HYPERLINK("http://www.ncbi.nlm.nih.gov/protein/260822352","gi|260822352")</f>
        <v>gi|260822352</v>
      </c>
      <c r="V217">
        <v>82.4</v>
      </c>
      <c r="W217">
        <v>69</v>
      </c>
      <c r="X217">
        <v>202</v>
      </c>
      <c r="Y217">
        <v>50</v>
      </c>
      <c r="Z217">
        <v>35</v>
      </c>
      <c r="AA217">
        <v>35</v>
      </c>
      <c r="AB217">
        <v>0</v>
      </c>
      <c r="AC217">
        <v>131</v>
      </c>
      <c r="AD217">
        <v>5</v>
      </c>
      <c r="AE217">
        <v>1</v>
      </c>
      <c r="AF217"/>
      <c r="AG217" t="s">
        <v>13</v>
      </c>
      <c r="AH217" t="s">
        <v>51</v>
      </c>
      <c r="AI217" t="s">
        <v>301</v>
      </c>
      <c r="AJ217" t="str">
        <f>HYPERLINK(".\links\SWISSP\TI-461-SWISSP.txt","COMM domain-containing protein 7 OS=Mus musculus GN=Commd7 PE=2 SV=1")</f>
        <v>COMM domain-containing protein 7 OS=Mus musculus GN=Commd7 PE=2 SV=1</v>
      </c>
      <c r="AK217" t="str">
        <f>HYPERLINK("http://www.uniprot.org/uniprot/Q8BG94","1E-012")</f>
        <v>1E-012</v>
      </c>
      <c r="AL217" t="s">
        <v>238</v>
      </c>
      <c r="AM217">
        <v>72</v>
      </c>
      <c r="AN217">
        <v>68</v>
      </c>
      <c r="AO217">
        <v>200</v>
      </c>
      <c r="AP217">
        <v>44</v>
      </c>
      <c r="AQ217">
        <v>35</v>
      </c>
      <c r="AR217">
        <v>38</v>
      </c>
      <c r="AS217">
        <v>0</v>
      </c>
      <c r="AT217">
        <v>129</v>
      </c>
      <c r="AU217">
        <v>5</v>
      </c>
      <c r="AV217">
        <v>1</v>
      </c>
      <c r="AW217" t="s">
        <v>87</v>
      </c>
      <c r="AX217" t="s">
        <v>8</v>
      </c>
      <c r="AY217"/>
      <c r="AZ217"/>
      <c r="BA217"/>
      <c r="BB217"/>
      <c r="BC217"/>
      <c r="BD217"/>
      <c r="BE217"/>
      <c r="BF217"/>
      <c r="BG217"/>
      <c r="BH217"/>
      <c r="BI217"/>
      <c r="BJ217"/>
      <c r="BK217" t="s">
        <v>919</v>
      </c>
      <c r="BL217">
        <f>HYPERLINK(".\links\GO\TI-461-GO.txt",0.0000000000003)</f>
        <v>2.9999999999999998E-13</v>
      </c>
      <c r="BM217" t="s">
        <v>373</v>
      </c>
      <c r="BN217" t="s">
        <v>373</v>
      </c>
      <c r="BO217"/>
      <c r="BP217" t="s">
        <v>374</v>
      </c>
      <c r="BQ217">
        <v>2.9999999999999998E-13</v>
      </c>
      <c r="BR217" t="s">
        <v>375</v>
      </c>
      <c r="BS217" t="s">
        <v>375</v>
      </c>
      <c r="BT217"/>
      <c r="BU217" t="s">
        <v>376</v>
      </c>
      <c r="BV217">
        <v>2.9999999999999998E-13</v>
      </c>
      <c r="BW217" t="s">
        <v>380</v>
      </c>
      <c r="BX217" t="s">
        <v>373</v>
      </c>
      <c r="BY217"/>
      <c r="BZ217" t="s">
        <v>381</v>
      </c>
      <c r="CA217">
        <v>2.9999999999999998E-13</v>
      </c>
      <c r="CB217" t="s">
        <v>8</v>
      </c>
      <c r="CC217"/>
      <c r="CD217"/>
      <c r="CE217" t="s">
        <v>8</v>
      </c>
      <c r="CF217"/>
      <c r="CG217"/>
      <c r="CH217" t="s">
        <v>8</v>
      </c>
      <c r="CI217"/>
      <c r="CJ217" t="s">
        <v>8</v>
      </c>
      <c r="CK217"/>
      <c r="CL217" t="s">
        <v>8</v>
      </c>
      <c r="CM217"/>
      <c r="CN217" t="s">
        <v>8</v>
      </c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 t="s">
        <v>8</v>
      </c>
      <c r="DC217"/>
      <c r="DD217"/>
      <c r="DE217"/>
      <c r="DF217"/>
      <c r="DG217"/>
      <c r="DH217"/>
      <c r="DI217"/>
      <c r="DJ217"/>
      <c r="DK217"/>
      <c r="DL217"/>
      <c r="DM217"/>
      <c r="DN217"/>
      <c r="DO217"/>
    </row>
    <row r="218" spans="1:119" s="6" customFormat="1">
      <c r="A218" t="str">
        <f>HYPERLINK(".\links\pep\TI-458-pep.txt","TI-458")</f>
        <v>TI-458</v>
      </c>
      <c r="B218">
        <v>458</v>
      </c>
      <c r="C218" t="s">
        <v>7</v>
      </c>
      <c r="D218">
        <v>376</v>
      </c>
      <c r="E218">
        <v>0</v>
      </c>
      <c r="F218" t="str">
        <f>HYPERLINK(".\links\cds\TI-458-cds.txt","TI-458")</f>
        <v>TI-458</v>
      </c>
      <c r="G218">
        <v>1131</v>
      </c>
      <c r="H218"/>
      <c r="I218" t="s">
        <v>29</v>
      </c>
      <c r="J218" t="s">
        <v>6</v>
      </c>
      <c r="K218">
        <v>7</v>
      </c>
      <c r="L218">
        <v>3</v>
      </c>
      <c r="M218">
        <f t="shared" si="4"/>
        <v>4</v>
      </c>
      <c r="N218" t="s">
        <v>1338</v>
      </c>
      <c r="O218" t="s">
        <v>1181</v>
      </c>
      <c r="P218" t="str">
        <f>HYPERLINK(".\links\NR-LIGHT\TI-458-NR-LIGHT.txt","NR-LIGHT")</f>
        <v>NR-LIGHT</v>
      </c>
      <c r="Q218">
        <v>0</v>
      </c>
      <c r="R218">
        <v>100</v>
      </c>
      <c r="S218" t="str">
        <f>HYPERLINK(".\links\NR-LIGHT\TI-458-NR-LIGHT.txt","actin 5C, isoform B")</f>
        <v>actin 5C, isoform B</v>
      </c>
      <c r="T218" t="str">
        <f>HYPERLINK("http://www.ncbi.nlm.nih.gov/sutils/blink.cgi?pid=17530805","0.0")</f>
        <v>0.0</v>
      </c>
      <c r="U218" t="str">
        <f>HYPERLINK("http://www.ncbi.nlm.nih.gov/protein/17530805","gi|17530805")</f>
        <v>gi|17530805</v>
      </c>
      <c r="V218">
        <v>784</v>
      </c>
      <c r="W218">
        <v>375</v>
      </c>
      <c r="X218">
        <v>376</v>
      </c>
      <c r="Y218">
        <v>99</v>
      </c>
      <c r="Z218">
        <v>100</v>
      </c>
      <c r="AA218">
        <v>1</v>
      </c>
      <c r="AB218">
        <v>0</v>
      </c>
      <c r="AC218">
        <v>1</v>
      </c>
      <c r="AD218">
        <v>1</v>
      </c>
      <c r="AE218">
        <v>1</v>
      </c>
      <c r="AF218"/>
      <c r="AG218" t="s">
        <v>13</v>
      </c>
      <c r="AH218" t="s">
        <v>51</v>
      </c>
      <c r="AI218" t="s">
        <v>275</v>
      </c>
      <c r="AJ218" t="str">
        <f>HYPERLINK(".\links\SWISSP\TI-458-SWISSP.txt","Actin-5C OS=Anopheles gambiae GN=Act5C PE=2 SV=1")</f>
        <v>Actin-5C OS=Anopheles gambiae GN=Act5C PE=2 SV=1</v>
      </c>
      <c r="AK218" t="str">
        <f>HYPERLINK("http://www.uniprot.org/uniprot/P84185","0.0")</f>
        <v>0.0</v>
      </c>
      <c r="AL218" t="s">
        <v>237</v>
      </c>
      <c r="AM218">
        <v>784</v>
      </c>
      <c r="AN218">
        <v>375</v>
      </c>
      <c r="AO218">
        <v>376</v>
      </c>
      <c r="AP218">
        <v>99</v>
      </c>
      <c r="AQ218">
        <v>100</v>
      </c>
      <c r="AR218">
        <v>1</v>
      </c>
      <c r="AS218">
        <v>0</v>
      </c>
      <c r="AT218">
        <v>1</v>
      </c>
      <c r="AU218">
        <v>1</v>
      </c>
      <c r="AV218">
        <v>1</v>
      </c>
      <c r="AW218" t="s">
        <v>110</v>
      </c>
      <c r="AX218" t="str">
        <f>HYPERLINK(".\links\PREV-RHOD-PEP\TI-458-PREV-RHOD-PEP.txt","Contig16250_1")</f>
        <v>Contig16250_1</v>
      </c>
      <c r="AY218">
        <v>0</v>
      </c>
      <c r="AZ218" t="s">
        <v>1145</v>
      </c>
      <c r="BA218">
        <v>771</v>
      </c>
      <c r="BB218">
        <v>375</v>
      </c>
      <c r="BC218">
        <v>376</v>
      </c>
      <c r="BD218">
        <v>97</v>
      </c>
      <c r="BE218">
        <v>100</v>
      </c>
      <c r="BF218">
        <v>11</v>
      </c>
      <c r="BG218">
        <v>0</v>
      </c>
      <c r="BH218">
        <v>1</v>
      </c>
      <c r="BI218">
        <v>1</v>
      </c>
      <c r="BJ218">
        <v>1</v>
      </c>
      <c r="BK218" t="s">
        <v>911</v>
      </c>
      <c r="BL218">
        <f>HYPERLINK(".\links\GO\TI-458-GO.txt",0)</f>
        <v>0</v>
      </c>
      <c r="BM218" t="s">
        <v>912</v>
      </c>
      <c r="BN218" t="s">
        <v>330</v>
      </c>
      <c r="BO218" t="s">
        <v>913</v>
      </c>
      <c r="BP218" t="s">
        <v>914</v>
      </c>
      <c r="BQ218">
        <v>0</v>
      </c>
      <c r="BR218" t="s">
        <v>915</v>
      </c>
      <c r="BS218" t="s">
        <v>323</v>
      </c>
      <c r="BT218" t="s">
        <v>551</v>
      </c>
      <c r="BU218" t="s">
        <v>916</v>
      </c>
      <c r="BV218">
        <v>0</v>
      </c>
      <c r="BW218" t="s">
        <v>917</v>
      </c>
      <c r="BX218" t="s">
        <v>330</v>
      </c>
      <c r="BY218" t="s">
        <v>913</v>
      </c>
      <c r="BZ218" t="s">
        <v>918</v>
      </c>
      <c r="CA218">
        <v>0</v>
      </c>
      <c r="CB218" t="s">
        <v>8</v>
      </c>
      <c r="CC218"/>
      <c r="CD218"/>
      <c r="CE218" t="s">
        <v>8</v>
      </c>
      <c r="CF218"/>
      <c r="CG218"/>
      <c r="CH218" t="s">
        <v>8</v>
      </c>
      <c r="CI218"/>
      <c r="CJ218" t="s">
        <v>8</v>
      </c>
      <c r="CK218"/>
      <c r="CL218" t="s">
        <v>8</v>
      </c>
      <c r="CM218"/>
      <c r="CN218" t="s">
        <v>8</v>
      </c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 t="s">
        <v>8</v>
      </c>
      <c r="DC218"/>
      <c r="DD218"/>
      <c r="DE218"/>
      <c r="DF218"/>
      <c r="DG218"/>
      <c r="DH218"/>
      <c r="DI218"/>
      <c r="DJ218"/>
      <c r="DK218"/>
      <c r="DL218"/>
      <c r="DM218"/>
      <c r="DN218"/>
      <c r="DO218"/>
    </row>
    <row r="219" spans="1:119" s="6" customFormat="1">
      <c r="A219" s="6" t="str">
        <f>HYPERLINK(".\links\pep\TI-456-pep.txt","TI-456")</f>
        <v>TI-456</v>
      </c>
      <c r="B219" s="6">
        <v>456</v>
      </c>
      <c r="C219" s="6" t="s">
        <v>10</v>
      </c>
      <c r="D219" s="6">
        <v>10</v>
      </c>
      <c r="E219" s="6">
        <v>0</v>
      </c>
      <c r="F219" s="6" t="str">
        <f>HYPERLINK(".\links\cds\TI-456-cds.txt","TI-456")</f>
        <v>TI-456</v>
      </c>
      <c r="G219" s="6">
        <v>33</v>
      </c>
      <c r="I219" s="6" t="s">
        <v>8</v>
      </c>
      <c r="J219" s="6" t="s">
        <v>6</v>
      </c>
      <c r="K219" s="6">
        <v>1</v>
      </c>
      <c r="L219" s="6">
        <v>0</v>
      </c>
      <c r="M219" s="6">
        <f t="shared" si="4"/>
        <v>1</v>
      </c>
      <c r="N219" s="6" t="s">
        <v>1170</v>
      </c>
      <c r="O219" s="6" t="s">
        <v>1171</v>
      </c>
      <c r="S219" s="6" t="s">
        <v>8</v>
      </c>
      <c r="AJ219" s="6" t="s">
        <v>8</v>
      </c>
      <c r="AX219" s="6" t="s">
        <v>8</v>
      </c>
      <c r="BK219" s="6" t="s">
        <v>8</v>
      </c>
      <c r="CB219" s="6" t="s">
        <v>8</v>
      </c>
      <c r="CE219" s="6" t="s">
        <v>8</v>
      </c>
      <c r="CH219" s="6" t="s">
        <v>8</v>
      </c>
      <c r="CJ219" s="6" t="s">
        <v>8</v>
      </c>
      <c r="CL219" s="6" t="s">
        <v>8</v>
      </c>
      <c r="CN219" s="6" t="s">
        <v>8</v>
      </c>
      <c r="DB219" s="6" t="s">
        <v>8</v>
      </c>
    </row>
    <row r="220" spans="1:119" s="6" customFormat="1">
      <c r="A220" s="6" t="str">
        <f>HYPERLINK(".\links\pep\TI-451-pep.txt","TI-451")</f>
        <v>TI-451</v>
      </c>
      <c r="B220" s="6">
        <v>451</v>
      </c>
      <c r="C220" s="6" t="s">
        <v>12</v>
      </c>
      <c r="D220" s="6">
        <v>57</v>
      </c>
      <c r="E220" s="7">
        <v>1.754386</v>
      </c>
      <c r="F220" s="6" t="str">
        <f>HYPERLINK(".\links\cds\TI-451-cds.txt","TI-451")</f>
        <v>TI-451</v>
      </c>
      <c r="G220" s="6">
        <v>174</v>
      </c>
      <c r="I220" s="6" t="s">
        <v>8</v>
      </c>
      <c r="J220" s="6" t="s">
        <v>6</v>
      </c>
      <c r="K220" s="6">
        <v>1</v>
      </c>
      <c r="L220" s="6">
        <v>0</v>
      </c>
      <c r="M220" s="6">
        <f t="shared" si="4"/>
        <v>1</v>
      </c>
      <c r="N220" s="6" t="s">
        <v>1170</v>
      </c>
      <c r="O220" s="6" t="s">
        <v>1171</v>
      </c>
      <c r="S220" s="6" t="s">
        <v>8</v>
      </c>
      <c r="AJ220" s="6" t="s">
        <v>8</v>
      </c>
      <c r="AX220" s="6" t="s">
        <v>8</v>
      </c>
      <c r="BK220" s="6" t="s">
        <v>8</v>
      </c>
      <c r="CB220" s="6" t="s">
        <v>8</v>
      </c>
      <c r="CE220" s="6" t="s">
        <v>8</v>
      </c>
      <c r="CH220" s="6" t="s">
        <v>8</v>
      </c>
      <c r="CJ220" s="6" t="s">
        <v>8</v>
      </c>
      <c r="CL220" s="6" t="s">
        <v>8</v>
      </c>
      <c r="CN220" s="6" t="s">
        <v>8</v>
      </c>
      <c r="DB220" s="6" t="s">
        <v>8</v>
      </c>
    </row>
    <row r="221" spans="1:119" s="6" customFormat="1">
      <c r="A221" t="str">
        <f>HYPERLINK(".\links\pep\TI-449-pep.txt","TI-449")</f>
        <v>TI-449</v>
      </c>
      <c r="B221">
        <v>449</v>
      </c>
      <c r="C221" t="s">
        <v>22</v>
      </c>
      <c r="D221">
        <v>149</v>
      </c>
      <c r="E221">
        <v>0</v>
      </c>
      <c r="F221" t="str">
        <f>HYPERLINK(".\links\cds\TI-449-cds.txt","TI-449")</f>
        <v>TI-449</v>
      </c>
      <c r="G221">
        <v>450</v>
      </c>
      <c r="H221"/>
      <c r="I221" t="s">
        <v>8</v>
      </c>
      <c r="J221" t="s">
        <v>6</v>
      </c>
      <c r="K221">
        <v>2</v>
      </c>
      <c r="L221">
        <v>0</v>
      </c>
      <c r="M221">
        <f t="shared" si="4"/>
        <v>2</v>
      </c>
      <c r="N221" t="s">
        <v>1337</v>
      </c>
      <c r="O221" t="s">
        <v>1181</v>
      </c>
      <c r="P221" t="str">
        <f>HYPERLINK(".\links\GO\TI-449-GO.txt","GO")</f>
        <v>GO</v>
      </c>
      <c r="Q221" s="3">
        <v>3E-32</v>
      </c>
      <c r="R221">
        <v>47.7</v>
      </c>
      <c r="S221" t="str">
        <f>HYPERLINK(".\links\NR-LIGHT\TI-449-NR-LIGHT.txt","aldo-keto reductase family 1 member B10-like")</f>
        <v>aldo-keto reductase family 1 member B10-like</v>
      </c>
      <c r="T221" t="str">
        <f>HYPERLINK("http://www.ncbi.nlm.nih.gov/sutils/blink.cgi?pid=193601268","2E-039")</f>
        <v>2E-039</v>
      </c>
      <c r="U221" t="str">
        <f>HYPERLINK("http://www.ncbi.nlm.nih.gov/protein/193601268","gi|193601268")</f>
        <v>gi|193601268</v>
      </c>
      <c r="V221">
        <v>162</v>
      </c>
      <c r="W221">
        <v>142</v>
      </c>
      <c r="X221">
        <v>320</v>
      </c>
      <c r="Y221">
        <v>55</v>
      </c>
      <c r="Z221">
        <v>45</v>
      </c>
      <c r="AA221">
        <v>64</v>
      </c>
      <c r="AB221">
        <v>1</v>
      </c>
      <c r="AC221">
        <v>164</v>
      </c>
      <c r="AD221">
        <v>1</v>
      </c>
      <c r="AE221">
        <v>1</v>
      </c>
      <c r="AF221"/>
      <c r="AG221" t="s">
        <v>13</v>
      </c>
      <c r="AH221" t="s">
        <v>51</v>
      </c>
      <c r="AI221" t="s">
        <v>264</v>
      </c>
      <c r="AJ221" t="str">
        <f>HYPERLINK(".\links\SWISSP\TI-449-SWISSP.txt","Aldose reductase OS=Bos taurus GN=AKR1B1 PE=1 SV=1")</f>
        <v>Aldose reductase OS=Bos taurus GN=AKR1B1 PE=1 SV=1</v>
      </c>
      <c r="AK221" t="str">
        <f>HYPERLINK("http://www.uniprot.org/uniprot/P16116","7E-033")</f>
        <v>7E-033</v>
      </c>
      <c r="AL221" t="s">
        <v>233</v>
      </c>
      <c r="AM221">
        <v>139</v>
      </c>
      <c r="AN221">
        <v>149</v>
      </c>
      <c r="AO221">
        <v>315</v>
      </c>
      <c r="AP221">
        <v>47</v>
      </c>
      <c r="AQ221">
        <v>48</v>
      </c>
      <c r="AR221">
        <v>79</v>
      </c>
      <c r="AS221">
        <v>3</v>
      </c>
      <c r="AT221">
        <v>157</v>
      </c>
      <c r="AU221">
        <v>1</v>
      </c>
      <c r="AV221">
        <v>1</v>
      </c>
      <c r="AW221" t="s">
        <v>64</v>
      </c>
      <c r="AX221" t="str">
        <f>HYPERLINK(".\links\PREV-RHOD-PEP\TI-449-PREV-RHOD-PEP.txt","Contig5015_1")</f>
        <v>Contig5015_1</v>
      </c>
      <c r="AY221" s="3">
        <v>3.9999999999999999E-64</v>
      </c>
      <c r="AZ221" t="s">
        <v>1142</v>
      </c>
      <c r="BA221">
        <v>239</v>
      </c>
      <c r="BB221">
        <v>143</v>
      </c>
      <c r="BC221">
        <v>313</v>
      </c>
      <c r="BD221">
        <v>81</v>
      </c>
      <c r="BE221">
        <v>46</v>
      </c>
      <c r="BF221">
        <v>27</v>
      </c>
      <c r="BG221">
        <v>0</v>
      </c>
      <c r="BH221">
        <v>160</v>
      </c>
      <c r="BI221">
        <v>1</v>
      </c>
      <c r="BJ221">
        <v>1</v>
      </c>
      <c r="BK221" t="s">
        <v>899</v>
      </c>
      <c r="BL221">
        <f>HYPERLINK(".\links\GO\TI-449-GO.txt",6E-33)</f>
        <v>6.0000000000000003E-33</v>
      </c>
      <c r="BM221" t="s">
        <v>900</v>
      </c>
      <c r="BN221" t="s">
        <v>345</v>
      </c>
      <c r="BO221" t="s">
        <v>368</v>
      </c>
      <c r="BP221" t="s">
        <v>901</v>
      </c>
      <c r="BQ221" s="3">
        <v>3E-32</v>
      </c>
      <c r="BR221" t="s">
        <v>861</v>
      </c>
      <c r="BS221" t="s">
        <v>501</v>
      </c>
      <c r="BT221" t="s">
        <v>752</v>
      </c>
      <c r="BU221" t="s">
        <v>862</v>
      </c>
      <c r="BV221" s="3">
        <v>3E-32</v>
      </c>
      <c r="BW221" t="s">
        <v>902</v>
      </c>
      <c r="BX221" t="s">
        <v>345</v>
      </c>
      <c r="BY221" t="s">
        <v>368</v>
      </c>
      <c r="BZ221" t="s">
        <v>903</v>
      </c>
      <c r="CA221" s="3">
        <v>3E-32</v>
      </c>
      <c r="CB221" t="s">
        <v>8</v>
      </c>
      <c r="CC221"/>
      <c r="CD221"/>
      <c r="CE221" t="s">
        <v>8</v>
      </c>
      <c r="CF221"/>
      <c r="CG221"/>
      <c r="CH221" t="s">
        <v>8</v>
      </c>
      <c r="CI221"/>
      <c r="CJ221" t="s">
        <v>8</v>
      </c>
      <c r="CK221"/>
      <c r="CL221" t="s">
        <v>8</v>
      </c>
      <c r="CM221"/>
      <c r="CN221" t="s">
        <v>8</v>
      </c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 t="s">
        <v>8</v>
      </c>
      <c r="DC221"/>
      <c r="DD221"/>
      <c r="DE221"/>
      <c r="DF221"/>
      <c r="DG221"/>
      <c r="DH221"/>
      <c r="DI221"/>
      <c r="DJ221"/>
      <c r="DK221"/>
      <c r="DL221"/>
      <c r="DM221"/>
      <c r="DN221"/>
      <c r="DO221"/>
    </row>
    <row r="222" spans="1:119" s="6" customFormat="1">
      <c r="A222" t="str">
        <f>HYPERLINK(".\links\pep\TI-445-pep.txt","TI-445")</f>
        <v>TI-445</v>
      </c>
      <c r="B222">
        <v>445</v>
      </c>
      <c r="C222" t="s">
        <v>20</v>
      </c>
      <c r="D222">
        <v>120</v>
      </c>
      <c r="E222">
        <v>0</v>
      </c>
      <c r="F222" t="str">
        <f>HYPERLINK(".\links\cds\TI-445-cds.txt","TI-445")</f>
        <v>TI-445</v>
      </c>
      <c r="G222">
        <v>363</v>
      </c>
      <c r="H222"/>
      <c r="I222" t="s">
        <v>8</v>
      </c>
      <c r="J222" t="s">
        <v>6</v>
      </c>
      <c r="K222">
        <v>2</v>
      </c>
      <c r="L222">
        <v>1</v>
      </c>
      <c r="M222">
        <f t="shared" si="4"/>
        <v>1</v>
      </c>
      <c r="N222" t="s">
        <v>1195</v>
      </c>
      <c r="O222" t="s">
        <v>1196</v>
      </c>
      <c r="P222" t="str">
        <f>HYPERLINK(".\links\NR-LIGHT\TI-445-NR-LIGHT.txt","NR-LIGHT")</f>
        <v>NR-LIGHT</v>
      </c>
      <c r="Q222" s="3">
        <v>7.0000000000000006E-64</v>
      </c>
      <c r="R222">
        <v>6.6</v>
      </c>
      <c r="S222" t="str">
        <f>HYPERLINK(".\links\NR-LIGHT\TI-445-NR-LIGHT.txt","nonstructural protein precursor")</f>
        <v>nonstructural protein precursor</v>
      </c>
      <c r="T222" t="str">
        <f>HYPERLINK("http://www.ncbi.nlm.nih.gov/sutils/blink.cgi?pid=20451029","7E-064")</f>
        <v>7E-064</v>
      </c>
      <c r="U222" t="str">
        <f>HYPERLINK("http://www.ncbi.nlm.nih.gov/protein/20451029","gi|20451029")</f>
        <v>gi|20451029</v>
      </c>
      <c r="V222">
        <v>244</v>
      </c>
      <c r="W222">
        <v>119</v>
      </c>
      <c r="X222">
        <v>1795</v>
      </c>
      <c r="Y222">
        <v>97</v>
      </c>
      <c r="Z222">
        <v>7</v>
      </c>
      <c r="AA222">
        <v>3</v>
      </c>
      <c r="AB222">
        <v>0</v>
      </c>
      <c r="AC222">
        <v>1676</v>
      </c>
      <c r="AD222">
        <v>1</v>
      </c>
      <c r="AE222">
        <v>1</v>
      </c>
      <c r="AF222"/>
      <c r="AG222" t="s">
        <v>13</v>
      </c>
      <c r="AH222" t="s">
        <v>51</v>
      </c>
      <c r="AI222" t="s">
        <v>269</v>
      </c>
      <c r="AJ222" t="str">
        <f>HYPERLINK(".\links\SWISSP\TI-445-SWISSP.txt","Replicase polyprotein OS=Drosophila C virus (strain EB) GN=ORF1 PE=4 SV=1")</f>
        <v>Replicase polyprotein OS=Drosophila C virus (strain EB) GN=ORF1 PE=4 SV=1</v>
      </c>
      <c r="AK222" t="str">
        <f>HYPERLINK("http://www.uniprot.org/uniprot/O36966","2E-008")</f>
        <v>2E-008</v>
      </c>
      <c r="AL222" t="s">
        <v>230</v>
      </c>
      <c r="AM222">
        <v>57.8</v>
      </c>
      <c r="AN222">
        <v>78</v>
      </c>
      <c r="AO222">
        <v>1759</v>
      </c>
      <c r="AP222">
        <v>37</v>
      </c>
      <c r="AQ222">
        <v>4</v>
      </c>
      <c r="AR222">
        <v>49</v>
      </c>
      <c r="AS222">
        <v>0</v>
      </c>
      <c r="AT222">
        <v>1648</v>
      </c>
      <c r="AU222">
        <v>4</v>
      </c>
      <c r="AV222">
        <v>1</v>
      </c>
      <c r="AW222" t="s">
        <v>231</v>
      </c>
      <c r="AX222" t="s">
        <v>8</v>
      </c>
      <c r="AY222"/>
      <c r="AZ222"/>
      <c r="BA222"/>
      <c r="BB222"/>
      <c r="BC222"/>
      <c r="BD222"/>
      <c r="BE222"/>
      <c r="BF222"/>
      <c r="BG222"/>
      <c r="BH222"/>
      <c r="BI222"/>
      <c r="BJ222"/>
      <c r="BK222" t="s">
        <v>8</v>
      </c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 t="s">
        <v>8</v>
      </c>
      <c r="CC222"/>
      <c r="CD222"/>
      <c r="CE222" t="s">
        <v>8</v>
      </c>
      <c r="CF222"/>
      <c r="CG222"/>
      <c r="CH222" t="s">
        <v>8</v>
      </c>
      <c r="CI222"/>
      <c r="CJ222" t="s">
        <v>8</v>
      </c>
      <c r="CK222"/>
      <c r="CL222" t="s">
        <v>8</v>
      </c>
      <c r="CM222"/>
      <c r="CN222" t="s">
        <v>8</v>
      </c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 t="s">
        <v>8</v>
      </c>
      <c r="DC222"/>
      <c r="DD222"/>
      <c r="DE222"/>
      <c r="DF222"/>
      <c r="DG222"/>
      <c r="DH222"/>
      <c r="DI222"/>
      <c r="DJ222"/>
      <c r="DK222"/>
      <c r="DL222"/>
      <c r="DM222"/>
      <c r="DN222"/>
      <c r="DO222"/>
    </row>
    <row r="223" spans="1:119" s="6" customFormat="1">
      <c r="A223" s="6" t="str">
        <f>HYPERLINK(".\links\pep\TI-443-pep.txt","TI-443")</f>
        <v>TI-443</v>
      </c>
      <c r="B223" s="6">
        <v>443</v>
      </c>
      <c r="C223" s="6" t="s">
        <v>20</v>
      </c>
      <c r="D223" s="6">
        <v>32</v>
      </c>
      <c r="E223" s="6">
        <v>0</v>
      </c>
      <c r="F223" s="6" t="str">
        <f>HYPERLINK(".\links\cds\TI-443-cds.txt","TI-443")</f>
        <v>TI-443</v>
      </c>
      <c r="G223" s="6">
        <v>99</v>
      </c>
      <c r="I223" s="6" t="s">
        <v>8</v>
      </c>
      <c r="J223" s="6" t="s">
        <v>6</v>
      </c>
      <c r="K223" s="6">
        <v>1</v>
      </c>
      <c r="L223" s="6">
        <v>0</v>
      </c>
      <c r="M223" s="6">
        <f t="shared" si="4"/>
        <v>1</v>
      </c>
      <c r="N223" s="6" t="s">
        <v>1170</v>
      </c>
      <c r="O223" s="6" t="s">
        <v>1171</v>
      </c>
      <c r="S223" s="6" t="s">
        <v>8</v>
      </c>
      <c r="AJ223" s="6" t="s">
        <v>8</v>
      </c>
      <c r="AX223" s="6" t="s">
        <v>8</v>
      </c>
      <c r="BK223" s="6" t="s">
        <v>8</v>
      </c>
      <c r="CB223" s="6" t="s">
        <v>8</v>
      </c>
      <c r="CE223" s="6" t="s">
        <v>8</v>
      </c>
      <c r="CH223" s="6" t="s">
        <v>8</v>
      </c>
      <c r="CJ223" s="6" t="s">
        <v>8</v>
      </c>
      <c r="CL223" s="6" t="s">
        <v>8</v>
      </c>
      <c r="CN223" s="6" t="s">
        <v>8</v>
      </c>
      <c r="DB223" s="6" t="s">
        <v>8</v>
      </c>
    </row>
    <row r="224" spans="1:119" s="6" customFormat="1">
      <c r="A224" s="6" t="str">
        <f>HYPERLINK(".\links\pep\TI-442-pep.txt","TI-442")</f>
        <v>TI-442</v>
      </c>
      <c r="B224" s="6">
        <v>442</v>
      </c>
      <c r="C224" s="6" t="s">
        <v>12</v>
      </c>
      <c r="D224" s="6">
        <v>167</v>
      </c>
      <c r="E224" s="6">
        <v>0</v>
      </c>
      <c r="F224" s="6" t="str">
        <f>HYPERLINK(".\links\cds\TI-442-cds.txt","TI-442")</f>
        <v>TI-442</v>
      </c>
      <c r="G224" s="6">
        <v>504</v>
      </c>
      <c r="I224" s="6" t="s">
        <v>8</v>
      </c>
      <c r="J224" s="6" t="s">
        <v>6</v>
      </c>
      <c r="K224" s="6">
        <v>1</v>
      </c>
      <c r="L224" s="6">
        <v>0</v>
      </c>
      <c r="M224" s="6">
        <f t="shared" si="4"/>
        <v>1</v>
      </c>
      <c r="N224" s="6" t="s">
        <v>1170</v>
      </c>
      <c r="O224" s="6" t="s">
        <v>1171</v>
      </c>
      <c r="S224" s="6" t="s">
        <v>8</v>
      </c>
      <c r="AJ224" s="6" t="s">
        <v>8</v>
      </c>
      <c r="AX224" s="6" t="s">
        <v>8</v>
      </c>
      <c r="BK224" s="6" t="s">
        <v>8</v>
      </c>
      <c r="CB224" s="6" t="str">
        <f>HYPERLINK(".\links\CDD\TI-442-CDD.txt","FAP")</f>
        <v>FAP</v>
      </c>
      <c r="CC224" s="6" t="str">
        <f>HYPERLINK("http://www.ncbi.nlm.nih.gov/Structure/cdd/cddsrv.cgi?uid=pfam07174&amp;version=v4.0","0.003")</f>
        <v>0.003</v>
      </c>
      <c r="CD224" s="6" t="s">
        <v>972</v>
      </c>
      <c r="CE224" s="6" t="str">
        <f>HYPERLINK(".\links\KOG\TI-442-KOG.txt","RhoA GTPase effector DIA/Diaphanous")</f>
        <v>RhoA GTPase effector DIA/Diaphanous</v>
      </c>
      <c r="CF224" s="6" t="str">
        <f>HYPERLINK("http://www.ncbi.nlm.nih.gov/COG/grace/shokog.cgi?KOG1924","1E-004")</f>
        <v>1E-004</v>
      </c>
      <c r="CG224" s="6" t="s">
        <v>975</v>
      </c>
      <c r="CH224" s="6" t="str">
        <f>HYPERLINK(".\links\SMART\TI-442-SMART.txt","Amelogenin")</f>
        <v>Amelogenin</v>
      </c>
      <c r="CI224" s="6" t="str">
        <f>HYPERLINK("http://smart.embl-heidelberg.de/smart/do_annotation.pl?DOMAIN=Amelogenin&amp;BLAST=DUMMY","4E-004")</f>
        <v>4E-004</v>
      </c>
      <c r="CJ224" s="6" t="str">
        <f>HYPERLINK(".\links\PFAM\TI-442-PFAM.txt","FAP")</f>
        <v>FAP</v>
      </c>
      <c r="CK224" s="6" t="str">
        <f>HYPERLINK("http://pfam.sanger.ac.uk/family?acc=PF07174","6E-004")</f>
        <v>6E-004</v>
      </c>
      <c r="CL224" s="6" t="str">
        <f>HYPERLINK(".\links\PRK\TI-442-PRK.txt","proline-rich protein.")</f>
        <v>proline-rich protein.</v>
      </c>
      <c r="CM224" s="6">
        <v>2E-3</v>
      </c>
      <c r="CN224" s="6" t="s">
        <v>8</v>
      </c>
      <c r="DB224" s="6" t="s">
        <v>8</v>
      </c>
    </row>
    <row r="225" spans="1:119" s="6" customFormat="1">
      <c r="A225" t="str">
        <f>HYPERLINK(".\links\pep\TI-441-pep.txt","TI-441")</f>
        <v>TI-441</v>
      </c>
      <c r="B225">
        <v>441</v>
      </c>
      <c r="C225" t="s">
        <v>22</v>
      </c>
      <c r="D225">
        <v>212</v>
      </c>
      <c r="E225">
        <v>0</v>
      </c>
      <c r="F225" t="str">
        <f>HYPERLINK(".\links\cds\TI-441-cds.txt","TI-441")</f>
        <v>TI-441</v>
      </c>
      <c r="G225">
        <v>639</v>
      </c>
      <c r="H225"/>
      <c r="I225" t="s">
        <v>8</v>
      </c>
      <c r="J225" t="s">
        <v>6</v>
      </c>
      <c r="K225">
        <v>1</v>
      </c>
      <c r="L225">
        <v>0</v>
      </c>
      <c r="M225">
        <f t="shared" si="4"/>
        <v>1</v>
      </c>
      <c r="N225" t="s">
        <v>1336</v>
      </c>
      <c r="O225" t="s">
        <v>1184</v>
      </c>
      <c r="P225" t="str">
        <f>HYPERLINK(".\links\NR-LIGHT\TI-441-NR-LIGHT.txt","NR-LIGHT")</f>
        <v>NR-LIGHT</v>
      </c>
      <c r="Q225" s="3">
        <v>2E-55</v>
      </c>
      <c r="R225">
        <v>58.3</v>
      </c>
      <c r="S225" t="str">
        <f>HYPERLINK(".\links\NR-LIGHT\TI-441-NR-LIGHT.txt","proteasome subunit alpha type, putative")</f>
        <v>proteasome subunit alpha type, putative</v>
      </c>
      <c r="T225" t="str">
        <f>HYPERLINK("http://www.ncbi.nlm.nih.gov/sutils/blink.cgi?pid=242003283","2E-055")</f>
        <v>2E-055</v>
      </c>
      <c r="U225" t="str">
        <f>HYPERLINK("http://www.ncbi.nlm.nih.gov/protein/242003283","gi|242003283")</f>
        <v>gi|242003283</v>
      </c>
      <c r="V225">
        <v>217</v>
      </c>
      <c r="W225">
        <v>169</v>
      </c>
      <c r="X225">
        <v>293</v>
      </c>
      <c r="Y225">
        <v>59</v>
      </c>
      <c r="Z225">
        <v>58</v>
      </c>
      <c r="AA225">
        <v>69</v>
      </c>
      <c r="AB225">
        <v>1</v>
      </c>
      <c r="AC225">
        <v>84</v>
      </c>
      <c r="AD225">
        <v>1</v>
      </c>
      <c r="AE225">
        <v>1</v>
      </c>
      <c r="AF225"/>
      <c r="AG225" t="s">
        <v>13</v>
      </c>
      <c r="AH225" t="s">
        <v>51</v>
      </c>
      <c r="AI225" t="s">
        <v>268</v>
      </c>
      <c r="AJ225" t="str">
        <f>HYPERLINK(".\links\SWISSP\TI-441-SWISSP.txt","Proteasome subunit alpha type-1 OS=Dictyostelium discoideum GN=psmA1 PE=3 SV=1")</f>
        <v>Proteasome subunit alpha type-1 OS=Dictyostelium discoideum GN=psmA1 PE=3 SV=1</v>
      </c>
      <c r="AK225" t="str">
        <f>HYPERLINK("http://www.uniprot.org/uniprot/Q27562","2E-045")</f>
        <v>2E-045</v>
      </c>
      <c r="AL225" t="s">
        <v>228</v>
      </c>
      <c r="AM225">
        <v>182</v>
      </c>
      <c r="AN225">
        <v>170</v>
      </c>
      <c r="AO225">
        <v>248</v>
      </c>
      <c r="AP225">
        <v>53</v>
      </c>
      <c r="AQ225">
        <v>69</v>
      </c>
      <c r="AR225">
        <v>80</v>
      </c>
      <c r="AS225">
        <v>2</v>
      </c>
      <c r="AT225">
        <v>71</v>
      </c>
      <c r="AU225">
        <v>1</v>
      </c>
      <c r="AV225">
        <v>1</v>
      </c>
      <c r="AW225" t="s">
        <v>229</v>
      </c>
      <c r="AX225" t="str">
        <f>HYPERLINK(".\links\PREV-RHOD-PEP\TI-441-PREV-RHOD-PEP.txt","Contig4158_3")</f>
        <v>Contig4158_3</v>
      </c>
      <c r="AY225" s="3">
        <v>9.9999999999999999E-93</v>
      </c>
      <c r="AZ225" t="s">
        <v>1139</v>
      </c>
      <c r="BA225">
        <v>334</v>
      </c>
      <c r="BB225">
        <v>206</v>
      </c>
      <c r="BC225">
        <v>273</v>
      </c>
      <c r="BD225">
        <v>79</v>
      </c>
      <c r="BE225">
        <v>76</v>
      </c>
      <c r="BF225">
        <v>43</v>
      </c>
      <c r="BG225">
        <v>0</v>
      </c>
      <c r="BH225">
        <v>46</v>
      </c>
      <c r="BI225">
        <v>1</v>
      </c>
      <c r="BJ225">
        <v>1</v>
      </c>
      <c r="BK225" t="s">
        <v>893</v>
      </c>
      <c r="BL225">
        <f>HYPERLINK(".\links\GO\TI-441-GO.txt",9E-47)</f>
        <v>9E-47</v>
      </c>
      <c r="BM225" t="s">
        <v>455</v>
      </c>
      <c r="BN225" t="s">
        <v>345</v>
      </c>
      <c r="BO225" t="s">
        <v>349</v>
      </c>
      <c r="BP225" t="s">
        <v>456</v>
      </c>
      <c r="BQ225" s="3">
        <v>4.9999999999999999E-46</v>
      </c>
      <c r="BR225" t="s">
        <v>356</v>
      </c>
      <c r="BS225" t="s">
        <v>323</v>
      </c>
      <c r="BT225" t="s">
        <v>334</v>
      </c>
      <c r="BU225" t="s">
        <v>357</v>
      </c>
      <c r="BV225" s="3">
        <v>4.9999999999999999E-46</v>
      </c>
      <c r="BW225" t="s">
        <v>495</v>
      </c>
      <c r="BX225" t="s">
        <v>345</v>
      </c>
      <c r="BY225" t="s">
        <v>349</v>
      </c>
      <c r="BZ225" t="s">
        <v>496</v>
      </c>
      <c r="CA225" s="3">
        <v>4.9999999999999999E-46</v>
      </c>
      <c r="CB225" t="s">
        <v>8</v>
      </c>
      <c r="CC225"/>
      <c r="CD225"/>
      <c r="CE225" t="s">
        <v>8</v>
      </c>
      <c r="CF225"/>
      <c r="CG225"/>
      <c r="CH225" t="s">
        <v>8</v>
      </c>
      <c r="CI225"/>
      <c r="CJ225" t="s">
        <v>8</v>
      </c>
      <c r="CK225"/>
      <c r="CL225" t="s">
        <v>8</v>
      </c>
      <c r="CM225"/>
      <c r="CN225" t="s">
        <v>8</v>
      </c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 t="s">
        <v>8</v>
      </c>
      <c r="DC225"/>
      <c r="DD225"/>
      <c r="DE225"/>
      <c r="DF225"/>
      <c r="DG225"/>
      <c r="DH225"/>
      <c r="DI225"/>
      <c r="DJ225"/>
      <c r="DK225"/>
      <c r="DL225"/>
      <c r="DM225"/>
      <c r="DN225"/>
      <c r="DO225"/>
    </row>
    <row r="226" spans="1:119" s="6" customFormat="1">
      <c r="A226" t="str">
        <f>HYPERLINK(".\links\pep\TI-439-pep.txt","TI-439")</f>
        <v>TI-439</v>
      </c>
      <c r="B226">
        <v>439</v>
      </c>
      <c r="C226" t="s">
        <v>22</v>
      </c>
      <c r="D226">
        <v>206</v>
      </c>
      <c r="E226">
        <v>0</v>
      </c>
      <c r="F226" t="str">
        <f>HYPERLINK(".\links\cds\TI-439-cds.txt","TI-439")</f>
        <v>TI-439</v>
      </c>
      <c r="G226">
        <v>621</v>
      </c>
      <c r="H226"/>
      <c r="I226" t="s">
        <v>8</v>
      </c>
      <c r="J226" t="s">
        <v>6</v>
      </c>
      <c r="K226">
        <v>2</v>
      </c>
      <c r="L226">
        <v>1</v>
      </c>
      <c r="M226">
        <f t="shared" si="4"/>
        <v>1</v>
      </c>
      <c r="N226" t="s">
        <v>1195</v>
      </c>
      <c r="O226" t="s">
        <v>1196</v>
      </c>
      <c r="P226" t="str">
        <f>HYPERLINK(".\links\NR-LIGHT\TI-439-NR-LIGHT.txt","NR-LIGHT")</f>
        <v>NR-LIGHT</v>
      </c>
      <c r="Q226" s="3">
        <v>1.9999999999999999E-77</v>
      </c>
      <c r="R226">
        <v>8.9</v>
      </c>
      <c r="S226" t="str">
        <f>HYPERLINK(".\links\NR-LIGHT\TI-439-NR-LIGHT.txt","nonstructural protein precursor")</f>
        <v>nonstructural protein precursor</v>
      </c>
      <c r="T226" t="str">
        <f>HYPERLINK("http://www.ncbi.nlm.nih.gov/sutils/blink.cgi?pid=20451029","2E-077")</f>
        <v>2E-077</v>
      </c>
      <c r="U226" t="str">
        <f>HYPERLINK("http://www.ncbi.nlm.nih.gov/protein/20451029","gi|20451029")</f>
        <v>gi|20451029</v>
      </c>
      <c r="V226">
        <v>290</v>
      </c>
      <c r="W226">
        <v>160</v>
      </c>
      <c r="X226">
        <v>1795</v>
      </c>
      <c r="Y226">
        <v>89</v>
      </c>
      <c r="Z226">
        <v>9</v>
      </c>
      <c r="AA226">
        <v>17</v>
      </c>
      <c r="AB226">
        <v>0</v>
      </c>
      <c r="AC226">
        <v>841</v>
      </c>
      <c r="AD226">
        <v>2</v>
      </c>
      <c r="AE226">
        <v>1</v>
      </c>
      <c r="AF226"/>
      <c r="AG226" t="s">
        <v>13</v>
      </c>
      <c r="AH226" t="s">
        <v>51</v>
      </c>
      <c r="AI226" t="s">
        <v>269</v>
      </c>
      <c r="AJ226" t="s">
        <v>8</v>
      </c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 t="s">
        <v>8</v>
      </c>
      <c r="AY226"/>
      <c r="AZ226"/>
      <c r="BA226"/>
      <c r="BB226"/>
      <c r="BC226"/>
      <c r="BD226"/>
      <c r="BE226"/>
      <c r="BF226"/>
      <c r="BG226"/>
      <c r="BH226"/>
      <c r="BI226"/>
      <c r="BJ226"/>
      <c r="BK226" t="s">
        <v>8</v>
      </c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 t="s">
        <v>8</v>
      </c>
      <c r="CC226"/>
      <c r="CD226"/>
      <c r="CE226" t="s">
        <v>8</v>
      </c>
      <c r="CF226"/>
      <c r="CG226"/>
      <c r="CH226" t="s">
        <v>8</v>
      </c>
      <c r="CI226"/>
      <c r="CJ226" t="s">
        <v>8</v>
      </c>
      <c r="CK226"/>
      <c r="CL226" t="s">
        <v>8</v>
      </c>
      <c r="CM226"/>
      <c r="CN226" t="s">
        <v>8</v>
      </c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 t="s">
        <v>8</v>
      </c>
      <c r="DC226"/>
      <c r="DD226"/>
      <c r="DE226"/>
      <c r="DF226"/>
      <c r="DG226"/>
      <c r="DH226"/>
      <c r="DI226"/>
      <c r="DJ226"/>
      <c r="DK226"/>
      <c r="DL226"/>
      <c r="DM226"/>
      <c r="DN226"/>
      <c r="DO226"/>
    </row>
    <row r="227" spans="1:119" s="6" customFormat="1">
      <c r="A227" t="str">
        <f>HYPERLINK(".\links\pep\TI-434-pep.txt","TI-434")</f>
        <v>TI-434</v>
      </c>
      <c r="B227">
        <v>434</v>
      </c>
      <c r="C227" t="s">
        <v>18</v>
      </c>
      <c r="D227">
        <v>107</v>
      </c>
      <c r="E227">
        <v>0</v>
      </c>
      <c r="F227" t="str">
        <f>HYPERLINK(".\links\cds\TI-434-cds.txt","TI-434")</f>
        <v>TI-434</v>
      </c>
      <c r="G227">
        <v>324</v>
      </c>
      <c r="H227"/>
      <c r="I227" t="s">
        <v>8</v>
      </c>
      <c r="J227" t="s">
        <v>6</v>
      </c>
      <c r="K227">
        <v>2</v>
      </c>
      <c r="L227">
        <v>0</v>
      </c>
      <c r="M227">
        <f t="shared" si="4"/>
        <v>2</v>
      </c>
      <c r="N227" t="s">
        <v>1334</v>
      </c>
      <c r="O227" t="s">
        <v>1208</v>
      </c>
      <c r="P227" t="str">
        <f>HYPERLINK(".\links\GO\TI-434-GO.txt","GO")</f>
        <v>GO</v>
      </c>
      <c r="Q227">
        <v>2.0000000000000002E-5</v>
      </c>
      <c r="R227">
        <v>65.2</v>
      </c>
      <c r="S227" t="str">
        <f>HYPERLINK(".\links\NR-LIGHT\TI-434-NR-LIGHT.txt","defensin 4")</f>
        <v>defensin 4</v>
      </c>
      <c r="T227" t="str">
        <f>HYPERLINK("http://www.ncbi.nlm.nih.gov/sutils/blink.cgi?pid=197281888","1E-045")</f>
        <v>1E-045</v>
      </c>
      <c r="U227" t="str">
        <f>HYPERLINK("http://www.ncbi.nlm.nih.gov/protein/197281888","gi|197281888")</f>
        <v>gi|197281888</v>
      </c>
      <c r="V227">
        <v>183</v>
      </c>
      <c r="W227">
        <v>91</v>
      </c>
      <c r="X227">
        <v>93</v>
      </c>
      <c r="Y227">
        <v>92</v>
      </c>
      <c r="Z227">
        <v>99</v>
      </c>
      <c r="AA227">
        <v>7</v>
      </c>
      <c r="AB227">
        <v>0</v>
      </c>
      <c r="AC227">
        <v>2</v>
      </c>
      <c r="AD227">
        <v>16</v>
      </c>
      <c r="AE227">
        <v>1</v>
      </c>
      <c r="AF227"/>
      <c r="AG227" t="s">
        <v>13</v>
      </c>
      <c r="AH227" t="s">
        <v>51</v>
      </c>
      <c r="AI227" t="s">
        <v>285</v>
      </c>
      <c r="AJ227" t="str">
        <f>HYPERLINK(".\links\SWISSP\TI-434-SWISSP.txt","Defensin OS=Pyrrhocoris apterus PE=1 SV=1")</f>
        <v>Defensin OS=Pyrrhocoris apterus PE=1 SV=1</v>
      </c>
      <c r="AK227" t="str">
        <f>HYPERLINK("http://www.uniprot.org/uniprot/P37364","1E-013")</f>
        <v>1E-013</v>
      </c>
      <c r="AL227" t="s">
        <v>226</v>
      </c>
      <c r="AM227">
        <v>75.099999999999994</v>
      </c>
      <c r="AN227">
        <v>42</v>
      </c>
      <c r="AO227">
        <v>43</v>
      </c>
      <c r="AP227">
        <v>69</v>
      </c>
      <c r="AQ227">
        <v>100</v>
      </c>
      <c r="AR227">
        <v>13</v>
      </c>
      <c r="AS227">
        <v>0</v>
      </c>
      <c r="AT227">
        <v>1</v>
      </c>
      <c r="AU227">
        <v>65</v>
      </c>
      <c r="AV227">
        <v>1</v>
      </c>
      <c r="AW227" t="s">
        <v>227</v>
      </c>
      <c r="AX227" t="str">
        <f>HYPERLINK(".\links\PREV-RHOD-PEP\TI-434-PREV-RHOD-PEP.txt","Contig17966_73")</f>
        <v>Contig17966_73</v>
      </c>
      <c r="AY227" s="3">
        <v>2E-45</v>
      </c>
      <c r="AZ227" t="s">
        <v>1138</v>
      </c>
      <c r="BA227">
        <v>176</v>
      </c>
      <c r="BB227">
        <v>92</v>
      </c>
      <c r="BC227">
        <v>415</v>
      </c>
      <c r="BD227">
        <v>84</v>
      </c>
      <c r="BE227">
        <v>22</v>
      </c>
      <c r="BF227">
        <v>14</v>
      </c>
      <c r="BG227">
        <v>1</v>
      </c>
      <c r="BH227">
        <v>323</v>
      </c>
      <c r="BI227">
        <v>16</v>
      </c>
      <c r="BJ227">
        <v>1</v>
      </c>
      <c r="BK227" t="s">
        <v>890</v>
      </c>
      <c r="BL227">
        <f>HYPERLINK(".\links\GO\TI-434-GO.txt",0.00002)</f>
        <v>2.0000000000000002E-5</v>
      </c>
      <c r="BM227" t="s">
        <v>8</v>
      </c>
      <c r="BN227" t="s">
        <v>8</v>
      </c>
      <c r="BO227" t="s">
        <v>8</v>
      </c>
      <c r="BP227" t="s">
        <v>8</v>
      </c>
      <c r="BQ227" t="s">
        <v>8</v>
      </c>
      <c r="BR227" t="s">
        <v>861</v>
      </c>
      <c r="BS227" t="s">
        <v>501</v>
      </c>
      <c r="BT227" t="s">
        <v>752</v>
      </c>
      <c r="BU227" t="s">
        <v>862</v>
      </c>
      <c r="BV227">
        <v>2.0000000000000002E-5</v>
      </c>
      <c r="BW227" t="s">
        <v>891</v>
      </c>
      <c r="BX227" t="s">
        <v>581</v>
      </c>
      <c r="BY227"/>
      <c r="BZ227" t="s">
        <v>892</v>
      </c>
      <c r="CA227">
        <v>2.0000000000000002E-5</v>
      </c>
      <c r="CB227" t="s">
        <v>8</v>
      </c>
      <c r="CC227"/>
      <c r="CD227"/>
      <c r="CE227" t="s">
        <v>8</v>
      </c>
      <c r="CF227"/>
      <c r="CG227"/>
      <c r="CH227" t="s">
        <v>8</v>
      </c>
      <c r="CI227"/>
      <c r="CJ227" t="s">
        <v>8</v>
      </c>
      <c r="CK227"/>
      <c r="CL227" t="s">
        <v>8</v>
      </c>
      <c r="CM227"/>
      <c r="CN227" t="s">
        <v>8</v>
      </c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 t="s">
        <v>8</v>
      </c>
      <c r="DC227"/>
      <c r="DD227"/>
      <c r="DE227"/>
      <c r="DF227"/>
      <c r="DG227"/>
      <c r="DH227"/>
      <c r="DI227"/>
      <c r="DJ227"/>
      <c r="DK227"/>
      <c r="DL227"/>
      <c r="DM227"/>
      <c r="DN227"/>
      <c r="DO227"/>
    </row>
    <row r="228" spans="1:119" s="6" customFormat="1">
      <c r="A228" t="str">
        <f>HYPERLINK(".\links\pep\TI-432-pep.txt","TI-432")</f>
        <v>TI-432</v>
      </c>
      <c r="B228">
        <v>432</v>
      </c>
      <c r="C228" t="s">
        <v>11</v>
      </c>
      <c r="D228">
        <v>70</v>
      </c>
      <c r="E228">
        <v>0</v>
      </c>
      <c r="F228" t="str">
        <f>HYPERLINK(".\links\cds\TI-432-cds.txt","TI-432")</f>
        <v>TI-432</v>
      </c>
      <c r="G228">
        <v>213</v>
      </c>
      <c r="H228"/>
      <c r="I228" t="s">
        <v>8</v>
      </c>
      <c r="J228" t="s">
        <v>6</v>
      </c>
      <c r="K228">
        <v>2</v>
      </c>
      <c r="L228">
        <v>1</v>
      </c>
      <c r="M228">
        <f t="shared" si="4"/>
        <v>1</v>
      </c>
      <c r="N228" t="s">
        <v>1333</v>
      </c>
      <c r="O228" t="s">
        <v>1185</v>
      </c>
      <c r="P228" t="str">
        <f>HYPERLINK(".\links\NR-LIGHT\TI-432-NR-LIGHT.txt","NR-LIGHT")</f>
        <v>NR-LIGHT</v>
      </c>
      <c r="Q228" s="3">
        <v>1.9999999999999999E-20</v>
      </c>
      <c r="R228">
        <v>23.2</v>
      </c>
      <c r="S228" t="str">
        <f>HYPERLINK(".\links\NR-LIGHT\TI-432-NR-LIGHT.txt","cytochrome B")</f>
        <v>cytochrome B</v>
      </c>
      <c r="T228" t="str">
        <f>HYPERLINK("http://www.ncbi.nlm.nih.gov/sutils/blink.cgi?pid=317408312","2E-020")</f>
        <v>2E-020</v>
      </c>
      <c r="U228" t="str">
        <f>HYPERLINK("http://www.ncbi.nlm.nih.gov/protein/317408312","gi|317408312")</f>
        <v>gi|317408312</v>
      </c>
      <c r="V228">
        <v>100</v>
      </c>
      <c r="W228">
        <v>51</v>
      </c>
      <c r="X228">
        <v>224</v>
      </c>
      <c r="Y228">
        <v>92</v>
      </c>
      <c r="Z228">
        <v>23</v>
      </c>
      <c r="AA228">
        <v>4</v>
      </c>
      <c r="AB228">
        <v>0</v>
      </c>
      <c r="AC228">
        <v>83</v>
      </c>
      <c r="AD228">
        <v>19</v>
      </c>
      <c r="AE228">
        <v>1</v>
      </c>
      <c r="AF228"/>
      <c r="AG228" t="s">
        <v>13</v>
      </c>
      <c r="AH228" t="s">
        <v>51</v>
      </c>
      <c r="AI228" t="s">
        <v>273</v>
      </c>
      <c r="AJ228" t="str">
        <f>HYPERLINK(".\links\SWISSP\TI-432-SWISSP.txt","Cytochrome b OS=Corvus brachyrhynchos GN=MT-CYB PE=3 SV=1")</f>
        <v>Cytochrome b OS=Corvus brachyrhynchos GN=MT-CYB PE=3 SV=1</v>
      </c>
      <c r="AK228" t="str">
        <f>HYPERLINK("http://www.uniprot.org/uniprot/Q950C7","3E-013")</f>
        <v>3E-013</v>
      </c>
      <c r="AL228" t="s">
        <v>224</v>
      </c>
      <c r="AM228">
        <v>73.599999999999994</v>
      </c>
      <c r="AN228">
        <v>51</v>
      </c>
      <c r="AO228">
        <v>380</v>
      </c>
      <c r="AP228">
        <v>65</v>
      </c>
      <c r="AQ228">
        <v>14</v>
      </c>
      <c r="AR228">
        <v>18</v>
      </c>
      <c r="AS228">
        <v>0</v>
      </c>
      <c r="AT228">
        <v>194</v>
      </c>
      <c r="AU228">
        <v>19</v>
      </c>
      <c r="AV228">
        <v>1</v>
      </c>
      <c r="AW228" t="s">
        <v>225</v>
      </c>
      <c r="AX228" t="s">
        <v>8</v>
      </c>
      <c r="AY228"/>
      <c r="AZ228"/>
      <c r="BA228"/>
      <c r="BB228"/>
      <c r="BC228"/>
      <c r="BD228"/>
      <c r="BE228"/>
      <c r="BF228"/>
      <c r="BG228"/>
      <c r="BH228"/>
      <c r="BI228"/>
      <c r="BJ228"/>
      <c r="BK228" t="s">
        <v>889</v>
      </c>
      <c r="BL228">
        <f>HYPERLINK(".\links\GO\TI-432-GO.txt",0.000000000001)</f>
        <v>9.9999999999999998E-13</v>
      </c>
      <c r="BM228" t="s">
        <v>581</v>
      </c>
      <c r="BN228" t="s">
        <v>581</v>
      </c>
      <c r="BO228"/>
      <c r="BP228" t="s">
        <v>582</v>
      </c>
      <c r="BQ228">
        <v>9.9999999999999998E-13</v>
      </c>
      <c r="BR228" t="s">
        <v>424</v>
      </c>
      <c r="BS228" t="s">
        <v>323</v>
      </c>
      <c r="BT228" t="s">
        <v>390</v>
      </c>
      <c r="BU228" t="s">
        <v>425</v>
      </c>
      <c r="BV228">
        <v>9.9999999999999998E-13</v>
      </c>
      <c r="BW228" t="s">
        <v>618</v>
      </c>
      <c r="BX228" t="s">
        <v>581</v>
      </c>
      <c r="BY228"/>
      <c r="BZ228" t="s">
        <v>619</v>
      </c>
      <c r="CA228">
        <v>9.9999999999999998E-13</v>
      </c>
      <c r="CB228" t="s">
        <v>8</v>
      </c>
      <c r="CC228"/>
      <c r="CD228"/>
      <c r="CE228" t="s">
        <v>8</v>
      </c>
      <c r="CF228"/>
      <c r="CG228"/>
      <c r="CH228" t="s">
        <v>8</v>
      </c>
      <c r="CI228"/>
      <c r="CJ228" t="s">
        <v>8</v>
      </c>
      <c r="CK228"/>
      <c r="CL228" t="s">
        <v>8</v>
      </c>
      <c r="CM228"/>
      <c r="CN228" t="str">
        <f>HYPERLINK(".\links\MIT-PLA\TI-432-MIT-PLA.txt","Triatoma infestans clone TI-61 truncated cytochrome b mRNA, partial cds;")</f>
        <v>Triatoma infestans clone TI-61 truncated cytochrome b mRNA, partial cds;</v>
      </c>
      <c r="CO228" t="str">
        <f>HYPERLINK("http://www.ncbi.nlm.nih.gov/entrez/viewer.fcgi?db=nucleotide&amp;val=149898867","5E-093")</f>
        <v>5E-093</v>
      </c>
      <c r="CP228" t="str">
        <f>HYPERLINK("http://www.ncbi.nlm.nih.gov/entrez/viewer.fcgi?db=nucleotide&amp;val=149898867","gi|149898867")</f>
        <v>gi|149898867</v>
      </c>
      <c r="CQ228">
        <v>335</v>
      </c>
      <c r="CR228">
        <v>212</v>
      </c>
      <c r="CS228">
        <v>1107</v>
      </c>
      <c r="CT228">
        <v>94</v>
      </c>
      <c r="CU228">
        <v>19</v>
      </c>
      <c r="CV228">
        <v>11</v>
      </c>
      <c r="CW228">
        <v>0</v>
      </c>
      <c r="CX228">
        <v>499</v>
      </c>
      <c r="CY228">
        <v>1</v>
      </c>
      <c r="CZ228">
        <v>1</v>
      </c>
      <c r="DA228" t="s">
        <v>51</v>
      </c>
      <c r="DB228" t="s">
        <v>8</v>
      </c>
      <c r="DC228"/>
      <c r="DD228"/>
      <c r="DE228"/>
      <c r="DF228"/>
      <c r="DG228"/>
      <c r="DH228"/>
      <c r="DI228"/>
      <c r="DJ228"/>
      <c r="DK228"/>
      <c r="DL228"/>
      <c r="DM228"/>
      <c r="DN228"/>
      <c r="DO228"/>
    </row>
    <row r="229" spans="1:119" s="6" customFormat="1">
      <c r="A229" t="str">
        <f>HYPERLINK(".\links\pep\TI-430-pep.txt","TI-430")</f>
        <v>TI-430</v>
      </c>
      <c r="B229">
        <v>430</v>
      </c>
      <c r="C229" t="s">
        <v>15</v>
      </c>
      <c r="D229">
        <v>395</v>
      </c>
      <c r="E229" s="2">
        <v>1.0126580000000001</v>
      </c>
      <c r="F229" t="str">
        <f>HYPERLINK(".\links\cds\TI-430-cds.txt","TI-430")</f>
        <v>TI-430</v>
      </c>
      <c r="G229">
        <v>1184</v>
      </c>
      <c r="H229"/>
      <c r="I229" t="s">
        <v>8</v>
      </c>
      <c r="J229" t="s">
        <v>8</v>
      </c>
      <c r="K229">
        <v>4</v>
      </c>
      <c r="L229">
        <v>1</v>
      </c>
      <c r="M229">
        <f t="shared" si="4"/>
        <v>3</v>
      </c>
      <c r="N229" t="s">
        <v>1227</v>
      </c>
      <c r="O229" t="s">
        <v>1196</v>
      </c>
      <c r="P229" t="str">
        <f>HYPERLINK(".\links\NR-LIGHT\TI-430-NR-LIGHT.txt","NR-LIGHT")</f>
        <v>NR-LIGHT</v>
      </c>
      <c r="Q229">
        <v>0</v>
      </c>
      <c r="R229">
        <v>43.6</v>
      </c>
      <c r="S229" t="str">
        <f>HYPERLINK(".\links\NR-LIGHT\TI-430-NR-LIGHT.txt","capsid protein precursor")</f>
        <v>capsid protein precursor</v>
      </c>
      <c r="T229" t="str">
        <f>HYPERLINK("http://www.ncbi.nlm.nih.gov/sutils/blink.cgi?pid=20451030","0.0")</f>
        <v>0.0</v>
      </c>
      <c r="U229" t="str">
        <f>HYPERLINK("http://www.ncbi.nlm.nih.gov/protein/20451030","gi|20451030")</f>
        <v>gi|20451030</v>
      </c>
      <c r="V229">
        <v>732</v>
      </c>
      <c r="W229">
        <v>378</v>
      </c>
      <c r="X229">
        <v>868</v>
      </c>
      <c r="Y229">
        <v>95</v>
      </c>
      <c r="Z229">
        <v>44</v>
      </c>
      <c r="AA229">
        <v>17</v>
      </c>
      <c r="AB229">
        <v>0</v>
      </c>
      <c r="AC229">
        <v>381</v>
      </c>
      <c r="AD229">
        <v>6</v>
      </c>
      <c r="AE229">
        <v>1</v>
      </c>
      <c r="AF229"/>
      <c r="AG229" t="s">
        <v>13</v>
      </c>
      <c r="AH229" t="s">
        <v>51</v>
      </c>
      <c r="AI229" t="s">
        <v>269</v>
      </c>
      <c r="AJ229" t="str">
        <f>HYPERLINK(".\links\SWISSP\TI-430-SWISSP.txt","Structural polyprotein OS=Cricket paralysis virus (isolate Teleogryllus")</f>
        <v>Structural polyprotein OS=Cricket paralysis virus (isolate Teleogryllus</v>
      </c>
      <c r="AK229" t="str">
        <f>HYPERLINK("http://www.uniprot.org/uniprot/P13418","8E-021")</f>
        <v>8E-021</v>
      </c>
      <c r="AL229" t="s">
        <v>92</v>
      </c>
      <c r="AM229">
        <v>101</v>
      </c>
      <c r="AN229">
        <v>341</v>
      </c>
      <c r="AO229">
        <v>895</v>
      </c>
      <c r="AP229">
        <v>26</v>
      </c>
      <c r="AQ229">
        <v>38</v>
      </c>
      <c r="AR229">
        <v>269</v>
      </c>
      <c r="AS229">
        <v>46</v>
      </c>
      <c r="AT229">
        <v>409</v>
      </c>
      <c r="AU229">
        <v>6</v>
      </c>
      <c r="AV229">
        <v>1</v>
      </c>
      <c r="AW229" t="s">
        <v>93</v>
      </c>
      <c r="AX229" t="s">
        <v>8</v>
      </c>
      <c r="AY229"/>
      <c r="AZ229"/>
      <c r="BA229"/>
      <c r="BB229"/>
      <c r="BC229"/>
      <c r="BD229"/>
      <c r="BE229"/>
      <c r="BF229"/>
      <c r="BG229"/>
      <c r="BH229"/>
      <c r="BI229"/>
      <c r="BJ229"/>
      <c r="BK229" t="s">
        <v>8</v>
      </c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 t="s">
        <v>8</v>
      </c>
      <c r="CC229"/>
      <c r="CD229"/>
      <c r="CE229" t="s">
        <v>8</v>
      </c>
      <c r="CF229"/>
      <c r="CG229"/>
      <c r="CH229" t="s">
        <v>8</v>
      </c>
      <c r="CI229"/>
      <c r="CJ229" t="s">
        <v>8</v>
      </c>
      <c r="CK229"/>
      <c r="CL229" t="s">
        <v>8</v>
      </c>
      <c r="CM229"/>
      <c r="CN229" t="s">
        <v>8</v>
      </c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 t="s">
        <v>8</v>
      </c>
      <c r="DC229"/>
      <c r="DD229"/>
      <c r="DE229"/>
      <c r="DF229"/>
      <c r="DG229"/>
      <c r="DH229"/>
      <c r="DI229"/>
      <c r="DJ229"/>
      <c r="DK229"/>
      <c r="DL229"/>
      <c r="DM229"/>
      <c r="DN229"/>
      <c r="DO229"/>
    </row>
    <row r="230" spans="1:119" s="6" customFormat="1">
      <c r="A230" s="6" t="str">
        <f>HYPERLINK(".\links\pep\TI-428-pep.txt","TI-428")</f>
        <v>TI-428</v>
      </c>
      <c r="B230" s="6">
        <v>428</v>
      </c>
      <c r="C230" s="6" t="s">
        <v>23</v>
      </c>
      <c r="D230" s="6">
        <v>47</v>
      </c>
      <c r="E230" s="6">
        <v>0</v>
      </c>
      <c r="F230" s="6" t="str">
        <f>HYPERLINK(".\links\cds\TI-428-cds.txt","TI-428")</f>
        <v>TI-428</v>
      </c>
      <c r="G230" s="6">
        <v>144</v>
      </c>
      <c r="I230" s="6" t="s">
        <v>8</v>
      </c>
      <c r="J230" s="6" t="s">
        <v>6</v>
      </c>
      <c r="K230" s="6">
        <v>1</v>
      </c>
      <c r="L230" s="6">
        <v>0</v>
      </c>
      <c r="M230" s="6">
        <f t="shared" si="4"/>
        <v>1</v>
      </c>
      <c r="N230" s="6" t="s">
        <v>1170</v>
      </c>
      <c r="O230" s="6" t="s">
        <v>1171</v>
      </c>
      <c r="S230" s="6" t="str">
        <f>HYPERLINK(".\links\NR-LIGHT\TI-428-NR-LIGHT.txt","hypothetical protein")</f>
        <v>hypothetical protein</v>
      </c>
      <c r="T230" s="6" t="str">
        <f>HYPERLINK("http://www.ncbi.nlm.nih.gov/sutils/blink.cgi?pid=256065190","0.29")</f>
        <v>0.29</v>
      </c>
      <c r="U230" s="6" t="str">
        <f>HYPERLINK("http://www.ncbi.nlm.nih.gov/protein/256065190","gi|256065190")</f>
        <v>gi|256065190</v>
      </c>
      <c r="V230" s="6">
        <v>36.200000000000003</v>
      </c>
      <c r="W230" s="6">
        <v>22</v>
      </c>
      <c r="X230" s="6">
        <v>115</v>
      </c>
      <c r="Y230" s="6">
        <v>69</v>
      </c>
      <c r="Z230" s="6">
        <v>20</v>
      </c>
      <c r="AA230" s="6">
        <v>7</v>
      </c>
      <c r="AB230" s="6">
        <v>0</v>
      </c>
      <c r="AC230" s="6">
        <v>3</v>
      </c>
      <c r="AD230" s="6">
        <v>25</v>
      </c>
      <c r="AE230" s="6">
        <v>1</v>
      </c>
      <c r="AG230" s="6" t="s">
        <v>13</v>
      </c>
      <c r="AH230" s="6" t="s">
        <v>51</v>
      </c>
      <c r="AI230" s="6" t="s">
        <v>265</v>
      </c>
      <c r="AJ230" s="6" t="s">
        <v>8</v>
      </c>
      <c r="AX230" s="6" t="s">
        <v>8</v>
      </c>
      <c r="BK230" s="6" t="s">
        <v>8</v>
      </c>
      <c r="CB230" s="6" t="s">
        <v>8</v>
      </c>
      <c r="CE230" s="6" t="s">
        <v>8</v>
      </c>
      <c r="CH230" s="6" t="s">
        <v>8</v>
      </c>
      <c r="CJ230" s="6" t="s">
        <v>8</v>
      </c>
      <c r="CL230" s="6" t="s">
        <v>8</v>
      </c>
      <c r="CN230" s="6" t="s">
        <v>8</v>
      </c>
      <c r="DB230" s="6" t="str">
        <f>HYPERLINK(".\links\RRNA\TI-428-RRNA.txt","Myrmeleon sp. 18S ribosomal RNA")</f>
        <v>Myrmeleon sp. 18S ribosomal RNA</v>
      </c>
      <c r="DC230" s="6" t="str">
        <f>HYPERLINK("http://www.ncbi.nlm.nih.gov/entrez/viewer.fcgi?db=nucleotide&amp;val=293880","7E-046")</f>
        <v>7E-046</v>
      </c>
      <c r="DD230" s="6" t="str">
        <f>HYPERLINK("http://www.ncbi.nlm.nih.gov/entrez/viewer.fcgi?db=nucleotide&amp;val=293880","gi|293880")</f>
        <v>gi|293880</v>
      </c>
      <c r="DE230" s="6">
        <v>180</v>
      </c>
      <c r="DF230" s="6">
        <v>125</v>
      </c>
      <c r="DG230" s="6">
        <v>1379</v>
      </c>
      <c r="DH230" s="6">
        <v>93</v>
      </c>
      <c r="DI230" s="6">
        <v>9</v>
      </c>
      <c r="DJ230" s="6">
        <v>8</v>
      </c>
      <c r="DK230" s="6">
        <v>1</v>
      </c>
      <c r="DL230" s="6">
        <v>379</v>
      </c>
      <c r="DM230" s="6">
        <v>18</v>
      </c>
      <c r="DN230" s="6">
        <v>1</v>
      </c>
      <c r="DO230" s="6" t="s">
        <v>51</v>
      </c>
    </row>
    <row r="231" spans="1:119" s="6" customFormat="1">
      <c r="A231" s="6" t="str">
        <f>HYPERLINK(".\links\pep\TI-427-pep.txt","TI-427")</f>
        <v>TI-427</v>
      </c>
      <c r="B231" s="6">
        <v>427</v>
      </c>
      <c r="C231" s="6" t="s">
        <v>16</v>
      </c>
      <c r="D231" s="6">
        <v>24</v>
      </c>
      <c r="E231" s="6">
        <v>0</v>
      </c>
      <c r="F231" s="6" t="str">
        <f>HYPERLINK(".\links\cds\TI-427-cds.txt","TI-427")</f>
        <v>TI-427</v>
      </c>
      <c r="G231" s="6">
        <v>75</v>
      </c>
      <c r="I231" s="6" t="s">
        <v>8</v>
      </c>
      <c r="J231" s="6" t="s">
        <v>6</v>
      </c>
      <c r="K231" s="6">
        <v>2</v>
      </c>
      <c r="L231" s="6">
        <v>0</v>
      </c>
      <c r="M231" s="6">
        <f t="shared" si="4"/>
        <v>2</v>
      </c>
      <c r="N231" s="6" t="s">
        <v>1170</v>
      </c>
      <c r="O231" s="6" t="s">
        <v>1171</v>
      </c>
      <c r="S231" s="6" t="s">
        <v>8</v>
      </c>
      <c r="AJ231" s="6" t="s">
        <v>8</v>
      </c>
      <c r="AX231" s="6" t="s">
        <v>8</v>
      </c>
      <c r="BK231" s="6" t="s">
        <v>8</v>
      </c>
      <c r="CB231" s="6" t="s">
        <v>8</v>
      </c>
      <c r="CE231" s="6" t="s">
        <v>8</v>
      </c>
      <c r="CH231" s="6" t="s">
        <v>8</v>
      </c>
      <c r="CJ231" s="6" t="s">
        <v>8</v>
      </c>
      <c r="CL231" s="6" t="s">
        <v>8</v>
      </c>
      <c r="CN231" s="6" t="s">
        <v>8</v>
      </c>
      <c r="DB231" s="6" t="s">
        <v>8</v>
      </c>
    </row>
    <row r="232" spans="1:119" s="6" customFormat="1">
      <c r="A232" t="str">
        <f>HYPERLINK(".\links\pep\TI-423-pep.txt","TI-423")</f>
        <v>TI-423</v>
      </c>
      <c r="B232">
        <v>423</v>
      </c>
      <c r="C232" t="s">
        <v>7</v>
      </c>
      <c r="D232">
        <v>219</v>
      </c>
      <c r="E232">
        <v>0</v>
      </c>
      <c r="F232" t="str">
        <f>HYPERLINK(".\links\cds\TI-423-cds.txt","TI-423")</f>
        <v>TI-423</v>
      </c>
      <c r="G232">
        <v>656</v>
      </c>
      <c r="H232"/>
      <c r="I232" t="s">
        <v>29</v>
      </c>
      <c r="J232" t="s">
        <v>8</v>
      </c>
      <c r="K232">
        <v>3</v>
      </c>
      <c r="L232">
        <v>0</v>
      </c>
      <c r="M232">
        <f t="shared" si="4"/>
        <v>3</v>
      </c>
      <c r="N232" t="s">
        <v>1174</v>
      </c>
      <c r="O232" t="s">
        <v>1175</v>
      </c>
      <c r="P232" t="str">
        <f>HYPERLINK(".\links\NR-LIGHT\TI-423-NR-LIGHT.txt","NR-LIGHT")</f>
        <v>NR-LIGHT</v>
      </c>
      <c r="Q232" s="3">
        <v>1E-51</v>
      </c>
      <c r="R232">
        <v>56.1</v>
      </c>
      <c r="S232" t="str">
        <f>HYPERLINK(".\links\NR-LIGHT\TI-423-NR-LIGHT.txt","cathepsin D")</f>
        <v>cathepsin D</v>
      </c>
      <c r="T232" t="str">
        <f>HYPERLINK("http://www.ncbi.nlm.nih.gov/sutils/blink.cgi?pid=301030231","1E-051")</f>
        <v>1E-051</v>
      </c>
      <c r="U232" t="str">
        <f>HYPERLINK("http://www.ncbi.nlm.nih.gov/protein/301030231","gi|301030231")</f>
        <v>gi|301030231</v>
      </c>
      <c r="V232">
        <v>204</v>
      </c>
      <c r="W232">
        <v>215</v>
      </c>
      <c r="X232">
        <v>390</v>
      </c>
      <c r="Y232">
        <v>47</v>
      </c>
      <c r="Z232">
        <v>55</v>
      </c>
      <c r="AA232">
        <v>115</v>
      </c>
      <c r="AB232">
        <v>6</v>
      </c>
      <c r="AC232">
        <v>3</v>
      </c>
      <c r="AD232">
        <v>2</v>
      </c>
      <c r="AE232">
        <v>1</v>
      </c>
      <c r="AF232"/>
      <c r="AG232" t="s">
        <v>13</v>
      </c>
      <c r="AH232" t="s">
        <v>51</v>
      </c>
      <c r="AI232" t="s">
        <v>273</v>
      </c>
      <c r="AJ232" t="str">
        <f>HYPERLINK(".\links\SWISSP\TI-423-SWISSP.txt","Lysosomal aspartic protease OS=Aedes aegypti GN=AAEL006169 PE=1 SV=2")</f>
        <v>Lysosomal aspartic protease OS=Aedes aegypti GN=AAEL006169 PE=1 SV=2</v>
      </c>
      <c r="AK232" t="str">
        <f>HYPERLINK("http://www.uniprot.org/uniprot/Q03168","2E-046")</f>
        <v>2E-046</v>
      </c>
      <c r="AL232" t="s">
        <v>103</v>
      </c>
      <c r="AM232">
        <v>185</v>
      </c>
      <c r="AN232">
        <v>195</v>
      </c>
      <c r="AO232">
        <v>387</v>
      </c>
      <c r="AP232">
        <v>49</v>
      </c>
      <c r="AQ232">
        <v>51</v>
      </c>
      <c r="AR232">
        <v>100</v>
      </c>
      <c r="AS232">
        <v>4</v>
      </c>
      <c r="AT232">
        <v>21</v>
      </c>
      <c r="AU232">
        <v>21</v>
      </c>
      <c r="AV232">
        <v>1</v>
      </c>
      <c r="AW232" t="s">
        <v>76</v>
      </c>
      <c r="AX232" t="str">
        <f>HYPERLINK(".\links\PREV-RHOD-PEP\TI-423-PREV-RHOD-PEP.txt","Contig808_2")</f>
        <v>Contig808_2</v>
      </c>
      <c r="AY232" s="3">
        <v>7.9999999999999994E-76</v>
      </c>
      <c r="AZ232" t="s">
        <v>1136</v>
      </c>
      <c r="BA232">
        <v>279</v>
      </c>
      <c r="BB232">
        <v>486</v>
      </c>
      <c r="BC232">
        <v>628</v>
      </c>
      <c r="BD232">
        <v>60</v>
      </c>
      <c r="BE232">
        <v>78</v>
      </c>
      <c r="BF232">
        <v>87</v>
      </c>
      <c r="BG232">
        <v>4</v>
      </c>
      <c r="BH232">
        <v>1</v>
      </c>
      <c r="BI232">
        <v>1</v>
      </c>
      <c r="BJ232">
        <v>2</v>
      </c>
      <c r="BK232" t="s">
        <v>492</v>
      </c>
      <c r="BL232">
        <f>HYPERLINK(".\links\GO\TI-423-GO.txt",1E-47)</f>
        <v>9.9999999999999997E-48</v>
      </c>
      <c r="BM232" t="s">
        <v>455</v>
      </c>
      <c r="BN232" t="s">
        <v>345</v>
      </c>
      <c r="BO232" t="s">
        <v>349</v>
      </c>
      <c r="BP232" t="s">
        <v>456</v>
      </c>
      <c r="BQ232" s="3">
        <v>8E-41</v>
      </c>
      <c r="BR232" t="s">
        <v>493</v>
      </c>
      <c r="BS232" t="s">
        <v>323</v>
      </c>
      <c r="BT232" t="s">
        <v>334</v>
      </c>
      <c r="BU232" t="s">
        <v>494</v>
      </c>
      <c r="BV232" s="3">
        <v>8E-41</v>
      </c>
      <c r="BW232" t="s">
        <v>495</v>
      </c>
      <c r="BX232" t="s">
        <v>345</v>
      </c>
      <c r="BY232" t="s">
        <v>349</v>
      </c>
      <c r="BZ232" t="s">
        <v>496</v>
      </c>
      <c r="CA232" s="3">
        <v>8E-41</v>
      </c>
      <c r="CB232" t="s">
        <v>8</v>
      </c>
      <c r="CC232"/>
      <c r="CD232"/>
      <c r="CE232" t="s">
        <v>8</v>
      </c>
      <c r="CF232"/>
      <c r="CG232"/>
      <c r="CH232" t="s">
        <v>8</v>
      </c>
      <c r="CI232"/>
      <c r="CJ232" t="s">
        <v>8</v>
      </c>
      <c r="CK232"/>
      <c r="CL232" t="s">
        <v>8</v>
      </c>
      <c r="CM232"/>
      <c r="CN232" t="s">
        <v>8</v>
      </c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 t="s">
        <v>8</v>
      </c>
      <c r="DC232"/>
      <c r="DD232"/>
      <c r="DE232"/>
      <c r="DF232"/>
      <c r="DG232"/>
      <c r="DH232"/>
      <c r="DI232"/>
      <c r="DJ232"/>
      <c r="DK232"/>
      <c r="DL232"/>
      <c r="DM232"/>
      <c r="DN232"/>
      <c r="DO232"/>
    </row>
    <row r="233" spans="1:119" s="6" customFormat="1">
      <c r="A233" s="6" t="str">
        <f>HYPERLINK(".\links\pep\TI-416-pep.txt","TI-416")</f>
        <v>TI-416</v>
      </c>
      <c r="B233" s="6">
        <v>416</v>
      </c>
      <c r="C233" s="6" t="s">
        <v>22</v>
      </c>
      <c r="D233" s="6">
        <v>30</v>
      </c>
      <c r="E233" s="6">
        <v>0</v>
      </c>
      <c r="F233" s="6" t="str">
        <f>HYPERLINK(".\links\cds\TI-416-cds.txt","TI-416")</f>
        <v>TI-416</v>
      </c>
      <c r="G233" s="6">
        <v>93</v>
      </c>
      <c r="I233" s="6" t="s">
        <v>8</v>
      </c>
      <c r="J233" s="6" t="s">
        <v>6</v>
      </c>
      <c r="K233" s="6">
        <v>1</v>
      </c>
      <c r="L233" s="6">
        <v>0</v>
      </c>
      <c r="M233" s="6">
        <f t="shared" si="4"/>
        <v>1</v>
      </c>
      <c r="N233" s="6" t="s">
        <v>1170</v>
      </c>
      <c r="O233" s="6" t="s">
        <v>1171</v>
      </c>
      <c r="S233" s="6" t="s">
        <v>8</v>
      </c>
      <c r="AJ233" s="6" t="s">
        <v>8</v>
      </c>
      <c r="AX233" s="6" t="s">
        <v>8</v>
      </c>
      <c r="BK233" s="6" t="s">
        <v>8</v>
      </c>
      <c r="CB233" s="6" t="s">
        <v>8</v>
      </c>
      <c r="CE233" s="6" t="s">
        <v>8</v>
      </c>
      <c r="CH233" s="6" t="s">
        <v>8</v>
      </c>
      <c r="CJ233" s="6" t="s">
        <v>8</v>
      </c>
      <c r="CL233" s="6" t="s">
        <v>8</v>
      </c>
      <c r="CN233" s="6" t="s">
        <v>8</v>
      </c>
      <c r="DB233" s="6" t="s">
        <v>8</v>
      </c>
    </row>
    <row r="234" spans="1:119" s="6" customFormat="1">
      <c r="A234" s="6" t="str">
        <f>HYPERLINK(".\links\pep\TI-415-pep.txt","TI-415")</f>
        <v>TI-415</v>
      </c>
      <c r="B234" s="6">
        <v>415</v>
      </c>
      <c r="C234" s="6" t="s">
        <v>10</v>
      </c>
      <c r="D234" s="6">
        <v>79</v>
      </c>
      <c r="E234" s="6">
        <v>0</v>
      </c>
      <c r="F234" s="6" t="str">
        <f>HYPERLINK(".\links\cds\TI-415-cds.txt","TI-415")</f>
        <v>TI-415</v>
      </c>
      <c r="G234" s="6">
        <v>240</v>
      </c>
      <c r="I234" s="6" t="s">
        <v>8</v>
      </c>
      <c r="J234" s="6" t="s">
        <v>6</v>
      </c>
      <c r="K234" s="6">
        <v>1</v>
      </c>
      <c r="L234" s="6">
        <v>0</v>
      </c>
      <c r="M234" s="6">
        <f t="shared" si="4"/>
        <v>1</v>
      </c>
      <c r="N234" s="6" t="s">
        <v>1170</v>
      </c>
      <c r="O234" s="6" t="s">
        <v>1171</v>
      </c>
      <c r="S234" s="6" t="str">
        <f>HYPERLINK(".\links\NR-LIGHT\TI-415-NR-LIGHT.txt","conserved hypothetical protein")</f>
        <v>conserved hypothetical protein</v>
      </c>
      <c r="T234" s="6" t="str">
        <f>HYPERLINK("http://www.ncbi.nlm.nih.gov/sutils/blink.cgi?pid=307332814","0.36")</f>
        <v>0.36</v>
      </c>
      <c r="U234" s="6" t="str">
        <f>HYPERLINK("http://www.ncbi.nlm.nih.gov/protein/307332814","gi|307332814")</f>
        <v>gi|307332814</v>
      </c>
      <c r="V234" s="6">
        <v>35.799999999999997</v>
      </c>
      <c r="W234" s="6">
        <v>38</v>
      </c>
      <c r="X234" s="6">
        <v>220</v>
      </c>
      <c r="Y234" s="6">
        <v>51</v>
      </c>
      <c r="Z234" s="6">
        <v>18</v>
      </c>
      <c r="AA234" s="6">
        <v>19</v>
      </c>
      <c r="AB234" s="6">
        <v>0</v>
      </c>
      <c r="AC234" s="6">
        <v>168</v>
      </c>
      <c r="AD234" s="6">
        <v>32</v>
      </c>
      <c r="AE234" s="6">
        <v>1</v>
      </c>
      <c r="AG234" s="6" t="s">
        <v>13</v>
      </c>
      <c r="AH234" s="6" t="s">
        <v>51</v>
      </c>
      <c r="AI234" s="6" t="s">
        <v>298</v>
      </c>
      <c r="AJ234" s="6" t="s">
        <v>8</v>
      </c>
      <c r="AX234" s="6" t="s">
        <v>8</v>
      </c>
      <c r="BK234" s="6" t="s">
        <v>8</v>
      </c>
      <c r="CB234" s="6" t="s">
        <v>8</v>
      </c>
      <c r="CE234" s="6" t="s">
        <v>8</v>
      </c>
      <c r="CH234" s="6" t="s">
        <v>8</v>
      </c>
      <c r="CJ234" s="6" t="s">
        <v>8</v>
      </c>
      <c r="CL234" s="6" t="s">
        <v>8</v>
      </c>
      <c r="CN234" s="6" t="s">
        <v>8</v>
      </c>
      <c r="DB234" s="6" t="str">
        <f>HYPERLINK(".\links\RRNA\TI-415-RRNA.txt","E.coli 23S rRNA")</f>
        <v>E.coli 23S rRNA</v>
      </c>
      <c r="DC234" s="6" t="str">
        <f>HYPERLINK("http://www.ncbi.nlm.nih.gov/entrez/viewer.fcgi?db=nucleotide&amp;val=174368","6E-057")</f>
        <v>6E-057</v>
      </c>
      <c r="DD234" s="6" t="str">
        <f>HYPERLINK("http://www.ncbi.nlm.nih.gov/entrez/viewer.fcgi?db=nucleotide&amp;val=174368","gi|174368")</f>
        <v>gi|174368</v>
      </c>
      <c r="DE234" s="6">
        <v>218</v>
      </c>
      <c r="DF234" s="6">
        <v>211</v>
      </c>
      <c r="DG234" s="6">
        <v>542</v>
      </c>
      <c r="DH234" s="6">
        <v>89</v>
      </c>
      <c r="DI234" s="6">
        <v>39</v>
      </c>
      <c r="DJ234" s="6">
        <v>23</v>
      </c>
      <c r="DK234" s="6">
        <v>4</v>
      </c>
      <c r="DL234" s="6">
        <v>12</v>
      </c>
      <c r="DM234" s="6">
        <v>1</v>
      </c>
      <c r="DN234" s="6">
        <v>1</v>
      </c>
      <c r="DO234" s="6" t="s">
        <v>981</v>
      </c>
    </row>
    <row r="235" spans="1:119" s="6" customFormat="1">
      <c r="A235" s="6" t="str">
        <f>HYPERLINK(".\links\pep\TI-414-pep.txt","TI-414")</f>
        <v>TI-414</v>
      </c>
      <c r="B235" s="6">
        <v>414</v>
      </c>
      <c r="C235" s="6" t="s">
        <v>13</v>
      </c>
      <c r="D235" s="6">
        <v>148</v>
      </c>
      <c r="E235" s="6">
        <v>0</v>
      </c>
      <c r="F235" s="6" t="str">
        <f>HYPERLINK(".\links\cds\TI-414-cds.txt","TI-414")</f>
        <v>TI-414</v>
      </c>
      <c r="G235" s="6">
        <v>441</v>
      </c>
      <c r="I235" s="6" t="s">
        <v>8</v>
      </c>
      <c r="J235" s="6" t="s">
        <v>8</v>
      </c>
      <c r="K235" s="6">
        <v>1</v>
      </c>
      <c r="L235" s="6">
        <v>0</v>
      </c>
      <c r="M235" s="6">
        <f t="shared" si="4"/>
        <v>1</v>
      </c>
      <c r="N235" s="6" t="s">
        <v>1170</v>
      </c>
      <c r="O235" s="6" t="s">
        <v>1171</v>
      </c>
      <c r="S235" s="6" t="str">
        <f>HYPERLINK(".\links\NR-LIGHT\TI-414-NR-LIGHT.txt","similar to CG4404 CG4404-PA")</f>
        <v>similar to CG4404 CG4404-PA</v>
      </c>
      <c r="T235" s="6" t="str">
        <f>HYPERLINK("http://www.ncbi.nlm.nih.gov/sutils/blink.cgi?pid=198424403","1E-007")</f>
        <v>1E-007</v>
      </c>
      <c r="U235" s="6" t="str">
        <f>HYPERLINK("http://www.ncbi.nlm.nih.gov/protein/198424403","gi|198424403")</f>
        <v>gi|198424403</v>
      </c>
      <c r="V235" s="6">
        <v>57.8</v>
      </c>
      <c r="W235" s="6">
        <v>112</v>
      </c>
      <c r="X235" s="6">
        <v>294</v>
      </c>
      <c r="Y235" s="6">
        <v>27</v>
      </c>
      <c r="Z235" s="6">
        <v>38</v>
      </c>
      <c r="AA235" s="6">
        <v>88</v>
      </c>
      <c r="AB235" s="6">
        <v>8</v>
      </c>
      <c r="AC235" s="6">
        <v>12</v>
      </c>
      <c r="AD235" s="6">
        <v>16</v>
      </c>
      <c r="AE235" s="6">
        <v>1</v>
      </c>
      <c r="AG235" s="6" t="s">
        <v>13</v>
      </c>
      <c r="AH235" s="6" t="s">
        <v>51</v>
      </c>
      <c r="AI235" s="6" t="s">
        <v>287</v>
      </c>
      <c r="AJ235" s="6" t="str">
        <f>HYPERLINK(".\links\SWISSP\TI-414-SWISSP.txt","Transcription factor Adf-1 OS=Drosophila melanogaster GN=Adf1 PE=1 SV=2")</f>
        <v>Transcription factor Adf-1 OS=Drosophila melanogaster GN=Adf1 PE=1 SV=2</v>
      </c>
      <c r="AK235" s="6" t="str">
        <f>HYPERLINK("http://www.uniprot.org/uniprot/P05552","0.001")</f>
        <v>0.001</v>
      </c>
      <c r="AL235" s="6" t="s">
        <v>221</v>
      </c>
      <c r="AM235" s="6">
        <v>42.4</v>
      </c>
      <c r="AN235" s="6">
        <v>87</v>
      </c>
      <c r="AO235" s="6">
        <v>262</v>
      </c>
      <c r="AP235" s="6">
        <v>22</v>
      </c>
      <c r="AQ235" s="6">
        <v>34</v>
      </c>
      <c r="AR235" s="6">
        <v>84</v>
      </c>
      <c r="AS235" s="6">
        <v>21</v>
      </c>
      <c r="AT235" s="6">
        <v>25</v>
      </c>
      <c r="AU235" s="6">
        <v>16</v>
      </c>
      <c r="AV235" s="6">
        <v>1</v>
      </c>
      <c r="AW235" s="6" t="s">
        <v>52</v>
      </c>
      <c r="AX235" s="6" t="str">
        <f>HYPERLINK(".\links\PREV-RHOD-PEP\TI-414-PREV-RHOD-PEP.txt","Contig2539_5")</f>
        <v>Contig2539_5</v>
      </c>
      <c r="AY235" s="8">
        <v>1.9999999999999999E-77</v>
      </c>
      <c r="AZ235" s="6" t="s">
        <v>1134</v>
      </c>
      <c r="BA235" s="6">
        <v>283</v>
      </c>
      <c r="BB235" s="6">
        <v>145</v>
      </c>
      <c r="BC235" s="6">
        <v>219</v>
      </c>
      <c r="BD235" s="6">
        <v>91</v>
      </c>
      <c r="BE235" s="6">
        <v>67</v>
      </c>
      <c r="BF235" s="6">
        <v>12</v>
      </c>
      <c r="BG235" s="6">
        <v>0</v>
      </c>
      <c r="BH235" s="6">
        <v>1</v>
      </c>
      <c r="BI235" s="6">
        <v>3</v>
      </c>
      <c r="BJ235" s="6">
        <v>1</v>
      </c>
      <c r="BK235" s="6" t="s">
        <v>882</v>
      </c>
      <c r="BL235" s="6">
        <f>HYPERLINK(".\links\GO\TI-414-GO.txt",0.000006)</f>
        <v>6.0000000000000002E-6</v>
      </c>
      <c r="BM235" s="6" t="s">
        <v>883</v>
      </c>
      <c r="BN235" s="6" t="s">
        <v>683</v>
      </c>
      <c r="BO235" s="6" t="s">
        <v>836</v>
      </c>
      <c r="BP235" s="6" t="s">
        <v>884</v>
      </c>
      <c r="BQ235" s="6">
        <v>2.9999999999999997E-4</v>
      </c>
      <c r="BR235" s="6" t="s">
        <v>447</v>
      </c>
      <c r="BS235" s="6" t="s">
        <v>323</v>
      </c>
      <c r="BT235" s="6" t="s">
        <v>334</v>
      </c>
      <c r="BU235" s="6" t="s">
        <v>448</v>
      </c>
      <c r="BV235" s="6">
        <v>2.9999999999999997E-4</v>
      </c>
      <c r="BW235" s="6" t="s">
        <v>838</v>
      </c>
      <c r="BX235" s="6" t="s">
        <v>683</v>
      </c>
      <c r="BY235" s="6" t="s">
        <v>836</v>
      </c>
      <c r="BZ235" s="6" t="s">
        <v>839</v>
      </c>
      <c r="CA235" s="6">
        <v>2.9999999999999997E-4</v>
      </c>
      <c r="CB235" s="6" t="s">
        <v>8</v>
      </c>
      <c r="CE235" s="6" t="s">
        <v>8</v>
      </c>
      <c r="CH235" s="6" t="s">
        <v>8</v>
      </c>
      <c r="CJ235" s="6" t="s">
        <v>8</v>
      </c>
      <c r="CL235" s="6" t="s">
        <v>8</v>
      </c>
      <c r="CN235" s="6" t="s">
        <v>8</v>
      </c>
      <c r="DB235" s="6" t="s">
        <v>8</v>
      </c>
    </row>
    <row r="236" spans="1:119" s="6" customFormat="1">
      <c r="A236" t="str">
        <f>HYPERLINK(".\links\pep\TI-413-pep.txt","TI-413")</f>
        <v>TI-413</v>
      </c>
      <c r="B236">
        <v>413</v>
      </c>
      <c r="C236" t="s">
        <v>14</v>
      </c>
      <c r="D236">
        <v>146</v>
      </c>
      <c r="E236">
        <v>0</v>
      </c>
      <c r="F236" t="str">
        <f>HYPERLINK(".\links\cds\TI-413-cds.txt","TI-413")</f>
        <v>TI-413</v>
      </c>
      <c r="G236">
        <v>435</v>
      </c>
      <c r="H236"/>
      <c r="I236" t="s">
        <v>8</v>
      </c>
      <c r="J236" t="s">
        <v>8</v>
      </c>
      <c r="K236">
        <v>1</v>
      </c>
      <c r="L236">
        <v>0</v>
      </c>
      <c r="M236">
        <f t="shared" si="4"/>
        <v>1</v>
      </c>
      <c r="N236" t="s">
        <v>1231</v>
      </c>
      <c r="O236" t="s">
        <v>1180</v>
      </c>
      <c r="P236" t="str">
        <f>HYPERLINK(".\links\NR-LIGHT\TI-413-NR-LIGHT.txt","NR-LIGHT")</f>
        <v>NR-LIGHT</v>
      </c>
      <c r="Q236">
        <v>2E-8</v>
      </c>
      <c r="R236">
        <v>14.1</v>
      </c>
      <c r="S236" t="str">
        <f>HYPERLINK(".\links\NR-LIGHT\TI-413-NR-LIGHT.txt","reverse transcriptase")</f>
        <v>reverse transcriptase</v>
      </c>
      <c r="T236" t="str">
        <f>HYPERLINK("http://www.ncbi.nlm.nih.gov/sutils/blink.cgi?pid=40457592","2E-008")</f>
        <v>2E-008</v>
      </c>
      <c r="U236" t="str">
        <f>HYPERLINK("http://www.ncbi.nlm.nih.gov/protein/40457592","gi|40457592")</f>
        <v>gi|40457592</v>
      </c>
      <c r="V236">
        <v>60.5</v>
      </c>
      <c r="W236">
        <v>120</v>
      </c>
      <c r="X236">
        <v>857</v>
      </c>
      <c r="Y236">
        <v>33</v>
      </c>
      <c r="Z236">
        <v>14</v>
      </c>
      <c r="AA236">
        <v>81</v>
      </c>
      <c r="AB236">
        <v>9</v>
      </c>
      <c r="AC236">
        <v>694</v>
      </c>
      <c r="AD236">
        <v>17</v>
      </c>
      <c r="AE236">
        <v>1</v>
      </c>
      <c r="AF236"/>
      <c r="AG236" t="s">
        <v>13</v>
      </c>
      <c r="AH236" t="s">
        <v>51</v>
      </c>
      <c r="AI236" t="s">
        <v>52</v>
      </c>
      <c r="AJ236" t="s">
        <v>8</v>
      </c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 t="s">
        <v>8</v>
      </c>
      <c r="AY236"/>
      <c r="AZ236"/>
      <c r="BA236"/>
      <c r="BB236"/>
      <c r="BC236"/>
      <c r="BD236"/>
      <c r="BE236"/>
      <c r="BF236"/>
      <c r="BG236"/>
      <c r="BH236"/>
      <c r="BI236"/>
      <c r="BJ236"/>
      <c r="BK236" t="s">
        <v>8</v>
      </c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 t="s">
        <v>8</v>
      </c>
      <c r="CC236"/>
      <c r="CD236"/>
      <c r="CE236" t="s">
        <v>8</v>
      </c>
      <c r="CF236"/>
      <c r="CG236"/>
      <c r="CH236" t="s">
        <v>8</v>
      </c>
      <c r="CI236"/>
      <c r="CJ236" t="s">
        <v>8</v>
      </c>
      <c r="CK236"/>
      <c r="CL236" t="s">
        <v>8</v>
      </c>
      <c r="CM236"/>
      <c r="CN236" t="s">
        <v>8</v>
      </c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 t="s">
        <v>8</v>
      </c>
      <c r="DC236"/>
      <c r="DD236"/>
      <c r="DE236"/>
      <c r="DF236"/>
      <c r="DG236"/>
      <c r="DH236"/>
      <c r="DI236"/>
      <c r="DJ236"/>
      <c r="DK236"/>
      <c r="DL236"/>
      <c r="DM236"/>
      <c r="DN236"/>
      <c r="DO236"/>
    </row>
    <row r="237" spans="1:119" s="6" customFormat="1">
      <c r="A237" t="str">
        <f>HYPERLINK(".\links\pep\TI-411-pep.txt","TI-411")</f>
        <v>TI-411</v>
      </c>
      <c r="B237">
        <v>411</v>
      </c>
      <c r="C237" t="s">
        <v>7</v>
      </c>
      <c r="D237">
        <v>119</v>
      </c>
      <c r="E237">
        <v>0</v>
      </c>
      <c r="F237" t="str">
        <f>HYPERLINK(".\links\cds\TI-411-cds.txt","TI-411")</f>
        <v>TI-411</v>
      </c>
      <c r="G237">
        <v>360</v>
      </c>
      <c r="H237"/>
      <c r="I237" t="s">
        <v>29</v>
      </c>
      <c r="J237" t="s">
        <v>6</v>
      </c>
      <c r="K237">
        <v>1</v>
      </c>
      <c r="L237">
        <v>0</v>
      </c>
      <c r="M237">
        <f t="shared" si="4"/>
        <v>1</v>
      </c>
      <c r="N237" t="s">
        <v>1329</v>
      </c>
      <c r="O237" t="s">
        <v>1169</v>
      </c>
      <c r="P237" t="str">
        <f>HYPERLINK(".\links\NR-LIGHT\TI-411-NR-LIGHT.txt","NR-LIGHT")</f>
        <v>NR-LIGHT</v>
      </c>
      <c r="Q237" s="3">
        <v>1.9999999999999999E-29</v>
      </c>
      <c r="R237">
        <v>82.4</v>
      </c>
      <c r="S237" t="str">
        <f>HYPERLINK(".\links\NR-LIGHT\TI-411-NR-LIGHT.txt","ribosomal protein S25")</f>
        <v>ribosomal protein S25</v>
      </c>
      <c r="T237" t="str">
        <f>HYPERLINK("http://www.ncbi.nlm.nih.gov/sutils/blink.cgi?pid=307006577","2E-029")</f>
        <v>2E-029</v>
      </c>
      <c r="U237" t="str">
        <f>HYPERLINK("http://www.ncbi.nlm.nih.gov/protein/307006577","gi|307006577")</f>
        <v>gi|307006577</v>
      </c>
      <c r="V237">
        <v>129</v>
      </c>
      <c r="W237">
        <v>74</v>
      </c>
      <c r="X237">
        <v>91</v>
      </c>
      <c r="Y237">
        <v>84</v>
      </c>
      <c r="Z237">
        <v>82</v>
      </c>
      <c r="AA237">
        <v>12</v>
      </c>
      <c r="AB237">
        <v>0</v>
      </c>
      <c r="AC237">
        <v>17</v>
      </c>
      <c r="AD237">
        <v>44</v>
      </c>
      <c r="AE237">
        <v>1</v>
      </c>
      <c r="AF237"/>
      <c r="AG237" t="s">
        <v>13</v>
      </c>
      <c r="AH237" t="s">
        <v>51</v>
      </c>
      <c r="AI237" t="s">
        <v>297</v>
      </c>
      <c r="AJ237" t="str">
        <f>HYPERLINK(".\links\SWISSP\TI-411-SWISSP.txt","40S ribosomal protein S25 OS=Spodoptera frugiperda GN=RpS25 PE=3 SV=1")</f>
        <v>40S ribosomal protein S25 OS=Spodoptera frugiperda GN=RpS25 PE=3 SV=1</v>
      </c>
      <c r="AK237" t="str">
        <f>HYPERLINK("http://www.uniprot.org/uniprot/Q962Q5","1E-027")</f>
        <v>1E-027</v>
      </c>
      <c r="AL237" t="s">
        <v>218</v>
      </c>
      <c r="AM237">
        <v>121</v>
      </c>
      <c r="AN237">
        <v>116</v>
      </c>
      <c r="AO237">
        <v>119</v>
      </c>
      <c r="AP237">
        <v>59</v>
      </c>
      <c r="AQ237">
        <v>98</v>
      </c>
      <c r="AR237">
        <v>48</v>
      </c>
      <c r="AS237">
        <v>1</v>
      </c>
      <c r="AT237">
        <v>1</v>
      </c>
      <c r="AU237">
        <v>1</v>
      </c>
      <c r="AV237">
        <v>1</v>
      </c>
      <c r="AW237" t="s">
        <v>58</v>
      </c>
      <c r="AX237" t="str">
        <f>HYPERLINK(".\links\PREV-RHOD-PEP\TI-411-PREV-RHOD-PEP.txt","Contig16400_4")</f>
        <v>Contig16400_4</v>
      </c>
      <c r="AY237" s="3">
        <v>3.9999999999999999E-45</v>
      </c>
      <c r="AZ237" t="s">
        <v>1132</v>
      </c>
      <c r="BA237">
        <v>176</v>
      </c>
      <c r="BB237">
        <v>118</v>
      </c>
      <c r="BC237">
        <v>119</v>
      </c>
      <c r="BD237">
        <v>77</v>
      </c>
      <c r="BE237">
        <v>100</v>
      </c>
      <c r="BF237">
        <v>27</v>
      </c>
      <c r="BG237">
        <v>0</v>
      </c>
      <c r="BH237">
        <v>1</v>
      </c>
      <c r="BI237">
        <v>1</v>
      </c>
      <c r="BJ237">
        <v>1</v>
      </c>
      <c r="BK237" t="s">
        <v>879</v>
      </c>
      <c r="BL237">
        <f>HYPERLINK(".\links\GO\TI-411-GO.txt",3E-27)</f>
        <v>3.0000000000000001E-27</v>
      </c>
      <c r="BM237" t="s">
        <v>329</v>
      </c>
      <c r="BN237" t="s">
        <v>330</v>
      </c>
      <c r="BO237" t="s">
        <v>331</v>
      </c>
      <c r="BP237" t="s">
        <v>332</v>
      </c>
      <c r="BQ237" s="3">
        <v>3.0000000000000001E-27</v>
      </c>
      <c r="BR237" t="s">
        <v>739</v>
      </c>
      <c r="BS237" t="s">
        <v>323</v>
      </c>
      <c r="BT237" t="s">
        <v>334</v>
      </c>
      <c r="BU237" t="s">
        <v>740</v>
      </c>
      <c r="BV237" s="3">
        <v>3.0000000000000001E-27</v>
      </c>
      <c r="BW237" t="s">
        <v>336</v>
      </c>
      <c r="BX237" t="s">
        <v>330</v>
      </c>
      <c r="BY237" t="s">
        <v>331</v>
      </c>
      <c r="BZ237" t="s">
        <v>337</v>
      </c>
      <c r="CA237" s="3">
        <v>3.0000000000000001E-27</v>
      </c>
      <c r="CB237" t="s">
        <v>8</v>
      </c>
      <c r="CC237"/>
      <c r="CD237"/>
      <c r="CE237" t="s">
        <v>8</v>
      </c>
      <c r="CF237"/>
      <c r="CG237"/>
      <c r="CH237" t="s">
        <v>8</v>
      </c>
      <c r="CI237"/>
      <c r="CJ237" t="s">
        <v>8</v>
      </c>
      <c r="CK237"/>
      <c r="CL237" t="s">
        <v>8</v>
      </c>
      <c r="CM237"/>
      <c r="CN237" t="s">
        <v>8</v>
      </c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 t="s">
        <v>8</v>
      </c>
      <c r="DC237"/>
      <c r="DD237"/>
      <c r="DE237"/>
      <c r="DF237"/>
      <c r="DG237"/>
      <c r="DH237"/>
      <c r="DI237"/>
      <c r="DJ237"/>
      <c r="DK237"/>
      <c r="DL237"/>
      <c r="DM237"/>
      <c r="DN237"/>
      <c r="DO237"/>
    </row>
    <row r="238" spans="1:119" s="6" customFormat="1">
      <c r="A238" t="str">
        <f>HYPERLINK(".\links\pep\TI-410-pep.txt","TI-410")</f>
        <v>TI-410</v>
      </c>
      <c r="B238">
        <v>410</v>
      </c>
      <c r="C238" t="s">
        <v>17</v>
      </c>
      <c r="D238">
        <v>131</v>
      </c>
      <c r="E238">
        <v>0</v>
      </c>
      <c r="F238" t="str">
        <f>HYPERLINK(".\links\cds\TI-410-cds.txt","TI-410")</f>
        <v>TI-410</v>
      </c>
      <c r="G238">
        <v>392</v>
      </c>
      <c r="H238"/>
      <c r="I238" t="s">
        <v>8</v>
      </c>
      <c r="J238" t="s">
        <v>8</v>
      </c>
      <c r="K238">
        <v>1</v>
      </c>
      <c r="L238">
        <v>0</v>
      </c>
      <c r="M238">
        <f t="shared" si="4"/>
        <v>1</v>
      </c>
      <c r="N238" t="s">
        <v>1230</v>
      </c>
      <c r="O238" t="s">
        <v>1187</v>
      </c>
      <c r="P238" t="str">
        <f>HYPERLINK(".\links\NR-LIGHT\TI-410-NR-LIGHT.txt","NR-LIGHT")</f>
        <v>NR-LIGHT</v>
      </c>
      <c r="Q238" s="3">
        <v>9.9999999999999998E-46</v>
      </c>
      <c r="R238">
        <v>2.7</v>
      </c>
      <c r="S238" t="str">
        <f>HYPERLINK(".\links\NR-LIGHT\TI-410-NR-LIGHT.txt","low-density lipoprotein receptor, putative")</f>
        <v>low-density lipoprotein receptor, putative</v>
      </c>
      <c r="T238" t="str">
        <f>HYPERLINK("http://www.ncbi.nlm.nih.gov/sutils/blink.cgi?pid=242018517","1E-045")</f>
        <v>1E-045</v>
      </c>
      <c r="U238" t="str">
        <f>HYPERLINK("http://www.ncbi.nlm.nih.gov/protein/242018517","gi|242018517")</f>
        <v>gi|242018517</v>
      </c>
      <c r="V238">
        <v>184</v>
      </c>
      <c r="W238">
        <v>3894</v>
      </c>
      <c r="X238">
        <v>4603</v>
      </c>
      <c r="Y238">
        <v>64</v>
      </c>
      <c r="Z238">
        <v>85</v>
      </c>
      <c r="AA238">
        <v>46</v>
      </c>
      <c r="AB238">
        <v>0</v>
      </c>
      <c r="AC238">
        <v>214</v>
      </c>
      <c r="AD238">
        <v>1</v>
      </c>
      <c r="AE238">
        <v>11</v>
      </c>
      <c r="AF238"/>
      <c r="AG238" t="s">
        <v>13</v>
      </c>
      <c r="AH238" t="s">
        <v>51</v>
      </c>
      <c r="AI238" t="s">
        <v>268</v>
      </c>
      <c r="AJ238" t="str">
        <f>HYPERLINK(".\links\SWISSP\TI-410-SWISSP.txt","Low-density lipoprotein receptor-related protein 1 OS=Gallus gallus GN=LRP1 PE=2")</f>
        <v>Low-density lipoprotein receptor-related protein 1 OS=Gallus gallus GN=LRP1 PE=2</v>
      </c>
      <c r="AK238" t="str">
        <f>HYPERLINK("http://www.uniprot.org/uniprot/P98157","8E-030")</f>
        <v>8E-030</v>
      </c>
      <c r="AL238" t="s">
        <v>217</v>
      </c>
      <c r="AM238">
        <v>128</v>
      </c>
      <c r="AN238">
        <v>3804</v>
      </c>
      <c r="AO238">
        <v>4543</v>
      </c>
      <c r="AP238">
        <v>45</v>
      </c>
      <c r="AQ238">
        <v>84</v>
      </c>
      <c r="AR238">
        <v>73</v>
      </c>
      <c r="AS238">
        <v>7</v>
      </c>
      <c r="AT238">
        <v>341</v>
      </c>
      <c r="AU238">
        <v>3</v>
      </c>
      <c r="AV238">
        <v>8</v>
      </c>
      <c r="AW238" t="s">
        <v>126</v>
      </c>
      <c r="AX238" t="str">
        <f>HYPERLINK(".\links\PREV-RHOD-PEP\TI-410-PREV-RHOD-PEP.txt","Contig17836_23")</f>
        <v>Contig17836_23</v>
      </c>
      <c r="AY238" s="3">
        <v>2.9999999999999998E-25</v>
      </c>
      <c r="AZ238" t="s">
        <v>1131</v>
      </c>
      <c r="BA238">
        <v>109</v>
      </c>
      <c r="BB238">
        <v>2800</v>
      </c>
      <c r="BC238">
        <v>4848</v>
      </c>
      <c r="BD238">
        <v>87</v>
      </c>
      <c r="BE238">
        <v>58</v>
      </c>
      <c r="BF238">
        <v>7</v>
      </c>
      <c r="BG238">
        <v>0</v>
      </c>
      <c r="BH238">
        <v>12</v>
      </c>
      <c r="BI238">
        <v>3</v>
      </c>
      <c r="BJ238">
        <v>6</v>
      </c>
      <c r="BK238" t="s">
        <v>876</v>
      </c>
      <c r="BL238">
        <f>HYPERLINK(".\links\GO\TI-410-GO.txt",1E-29)</f>
        <v>9.9999999999999994E-30</v>
      </c>
      <c r="BM238" t="s">
        <v>339</v>
      </c>
      <c r="BN238" t="s">
        <v>340</v>
      </c>
      <c r="BO238" t="s">
        <v>341</v>
      </c>
      <c r="BP238" t="s">
        <v>342</v>
      </c>
      <c r="BQ238" s="3">
        <v>9.9999999999999994E-30</v>
      </c>
      <c r="BR238" t="s">
        <v>424</v>
      </c>
      <c r="BS238" t="s">
        <v>323</v>
      </c>
      <c r="BT238" t="s">
        <v>390</v>
      </c>
      <c r="BU238" t="s">
        <v>425</v>
      </c>
      <c r="BV238" s="3">
        <v>9.9999999999999994E-30</v>
      </c>
      <c r="BW238" t="s">
        <v>877</v>
      </c>
      <c r="BX238" t="s">
        <v>340</v>
      </c>
      <c r="BY238" t="s">
        <v>341</v>
      </c>
      <c r="BZ238" t="s">
        <v>878</v>
      </c>
      <c r="CA238" s="3">
        <v>9.9999999999999994E-30</v>
      </c>
      <c r="CB238" t="s">
        <v>8</v>
      </c>
      <c r="CC238"/>
      <c r="CD238"/>
      <c r="CE238" t="s">
        <v>8</v>
      </c>
      <c r="CF238"/>
      <c r="CG238"/>
      <c r="CH238" t="s">
        <v>8</v>
      </c>
      <c r="CI238"/>
      <c r="CJ238" t="s">
        <v>8</v>
      </c>
      <c r="CK238"/>
      <c r="CL238" t="s">
        <v>8</v>
      </c>
      <c r="CM238"/>
      <c r="CN238" t="s">
        <v>8</v>
      </c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 t="s">
        <v>8</v>
      </c>
      <c r="DC238"/>
      <c r="DD238"/>
      <c r="DE238"/>
      <c r="DF238"/>
      <c r="DG238"/>
      <c r="DH238"/>
      <c r="DI238"/>
      <c r="DJ238"/>
      <c r="DK238"/>
      <c r="DL238"/>
      <c r="DM238"/>
      <c r="DN238"/>
      <c r="DO238"/>
    </row>
    <row r="239" spans="1:119" s="6" customFormat="1">
      <c r="A239" t="str">
        <f>HYPERLINK(".\links\pep\TI-409-pep.txt","TI-409")</f>
        <v>TI-409</v>
      </c>
      <c r="B239">
        <v>409</v>
      </c>
      <c r="C239" t="s">
        <v>7</v>
      </c>
      <c r="D239">
        <v>87</v>
      </c>
      <c r="E239">
        <v>0</v>
      </c>
      <c r="F239" t="str">
        <f>HYPERLINK(".\links\cds\TI-409-cds.txt","TI-409")</f>
        <v>TI-409</v>
      </c>
      <c r="G239">
        <v>264</v>
      </c>
      <c r="H239"/>
      <c r="I239" t="s">
        <v>29</v>
      </c>
      <c r="J239" t="s">
        <v>6</v>
      </c>
      <c r="K239">
        <v>1</v>
      </c>
      <c r="L239">
        <v>0</v>
      </c>
      <c r="M239">
        <f t="shared" si="4"/>
        <v>1</v>
      </c>
      <c r="N239" t="s">
        <v>1328</v>
      </c>
      <c r="O239" t="s">
        <v>1178</v>
      </c>
      <c r="P239" t="str">
        <f>HYPERLINK(".\links\NR-LIGHT\TI-409-NR-LIGHT.txt","NR-LIGHT")</f>
        <v>NR-LIGHT</v>
      </c>
      <c r="Q239" s="3">
        <v>9.9999999999999991E-22</v>
      </c>
      <c r="R239">
        <v>21.5</v>
      </c>
      <c r="S239" t="str">
        <f>HYPERLINK(".\links\NR-LIGHT\TI-409-NR-LIGHT.txt","pre-mRNA-splicing factor cwc15, putative")</f>
        <v>pre-mRNA-splicing factor cwc15, putative</v>
      </c>
      <c r="T239" t="str">
        <f>HYPERLINK("http://www.ncbi.nlm.nih.gov/sutils/blink.cgi?pid=242007951","1E-021")</f>
        <v>1E-021</v>
      </c>
      <c r="U239" t="str">
        <f>HYPERLINK("http://www.ncbi.nlm.nih.gov/protein/242007951","gi|242007951")</f>
        <v>gi|242007951</v>
      </c>
      <c r="V239">
        <v>103</v>
      </c>
      <c r="W239">
        <v>49</v>
      </c>
      <c r="X239">
        <v>232</v>
      </c>
      <c r="Y239">
        <v>96</v>
      </c>
      <c r="Z239">
        <v>22</v>
      </c>
      <c r="AA239">
        <v>2</v>
      </c>
      <c r="AB239">
        <v>0</v>
      </c>
      <c r="AC239">
        <v>1</v>
      </c>
      <c r="AD239">
        <v>1</v>
      </c>
      <c r="AE239">
        <v>1</v>
      </c>
      <c r="AF239"/>
      <c r="AG239" t="s">
        <v>13</v>
      </c>
      <c r="AH239" t="s">
        <v>51</v>
      </c>
      <c r="AI239" t="s">
        <v>268</v>
      </c>
      <c r="AJ239" t="str">
        <f>HYPERLINK(".\links\SWISSP\TI-409-SWISSP.txt","Protein CWC15 homolog OS=Drosophila melanogaster GN=c12.1 PE=1 SV=1")</f>
        <v>Protein CWC15 homolog OS=Drosophila melanogaster GN=c12.1 PE=1 SV=1</v>
      </c>
      <c r="AK239" t="str">
        <f>HYPERLINK("http://www.uniprot.org/uniprot/Q9V3B6","1E-019")</f>
        <v>1E-019</v>
      </c>
      <c r="AL239" t="s">
        <v>216</v>
      </c>
      <c r="AM239">
        <v>94.7</v>
      </c>
      <c r="AN239">
        <v>49</v>
      </c>
      <c r="AO239">
        <v>259</v>
      </c>
      <c r="AP239">
        <v>88</v>
      </c>
      <c r="AQ239">
        <v>19</v>
      </c>
      <c r="AR239">
        <v>6</v>
      </c>
      <c r="AS239">
        <v>0</v>
      </c>
      <c r="AT239">
        <v>1</v>
      </c>
      <c r="AU239">
        <v>1</v>
      </c>
      <c r="AV239">
        <v>1</v>
      </c>
      <c r="AW239" t="s">
        <v>52</v>
      </c>
      <c r="AX239" t="str">
        <f>HYPERLINK(".\links\PREV-RHOD-PEP\TI-409-PREV-RHOD-PEP.txt","Contig17852_77")</f>
        <v>Contig17852_77</v>
      </c>
      <c r="AY239" s="3">
        <v>1E-26</v>
      </c>
      <c r="AZ239" t="s">
        <v>1130</v>
      </c>
      <c r="BA239">
        <v>114</v>
      </c>
      <c r="BB239">
        <v>86</v>
      </c>
      <c r="BC239">
        <v>215</v>
      </c>
      <c r="BD239">
        <v>67</v>
      </c>
      <c r="BE239">
        <v>40</v>
      </c>
      <c r="BF239">
        <v>28</v>
      </c>
      <c r="BG239">
        <v>0</v>
      </c>
      <c r="BH239">
        <v>1</v>
      </c>
      <c r="BI239">
        <v>1</v>
      </c>
      <c r="BJ239">
        <v>1</v>
      </c>
      <c r="BK239" t="s">
        <v>875</v>
      </c>
      <c r="BL239">
        <f>HYPERLINK(".\links\GO\TI-409-GO.txt",3E-20)</f>
        <v>3.0000000000000003E-20</v>
      </c>
      <c r="BM239" t="s">
        <v>373</v>
      </c>
      <c r="BN239" t="s">
        <v>373</v>
      </c>
      <c r="BO239"/>
      <c r="BP239" t="s">
        <v>374</v>
      </c>
      <c r="BQ239" s="3">
        <v>2.9999999999999999E-16</v>
      </c>
      <c r="BR239" t="s">
        <v>375</v>
      </c>
      <c r="BS239" t="s">
        <v>375</v>
      </c>
      <c r="BT239"/>
      <c r="BU239" t="s">
        <v>376</v>
      </c>
      <c r="BV239" s="3">
        <v>2.9999999999999999E-16</v>
      </c>
      <c r="BW239" t="s">
        <v>715</v>
      </c>
      <c r="BX239" t="s">
        <v>373</v>
      </c>
      <c r="BY239"/>
      <c r="BZ239" t="s">
        <v>716</v>
      </c>
      <c r="CA239" s="3">
        <v>2.9999999999999999E-16</v>
      </c>
      <c r="CB239" t="s">
        <v>8</v>
      </c>
      <c r="CC239"/>
      <c r="CD239"/>
      <c r="CE239" t="s">
        <v>8</v>
      </c>
      <c r="CF239"/>
      <c r="CG239"/>
      <c r="CH239" t="s">
        <v>8</v>
      </c>
      <c r="CI239"/>
      <c r="CJ239" t="s">
        <v>8</v>
      </c>
      <c r="CK239"/>
      <c r="CL239" t="s">
        <v>8</v>
      </c>
      <c r="CM239"/>
      <c r="CN239" t="s">
        <v>8</v>
      </c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 t="s">
        <v>8</v>
      </c>
      <c r="DC239"/>
      <c r="DD239"/>
      <c r="DE239"/>
      <c r="DF239"/>
      <c r="DG239"/>
      <c r="DH239"/>
      <c r="DI239"/>
      <c r="DJ239"/>
      <c r="DK239"/>
      <c r="DL239"/>
      <c r="DM239"/>
      <c r="DN239"/>
      <c r="DO239"/>
    </row>
    <row r="240" spans="1:119" s="6" customFormat="1">
      <c r="A240" s="6" t="str">
        <f>HYPERLINK(".\links\pep\TI-408-pep.txt","TI-408")</f>
        <v>TI-408</v>
      </c>
      <c r="B240" s="6">
        <v>408</v>
      </c>
      <c r="C240" s="6" t="s">
        <v>13</v>
      </c>
      <c r="D240" s="6">
        <v>42</v>
      </c>
      <c r="E240" s="6">
        <v>0</v>
      </c>
      <c r="F240" s="6" t="str">
        <f>HYPERLINK(".\links\cds\TI-408-cds.txt","TI-408")</f>
        <v>TI-408</v>
      </c>
      <c r="G240" s="6">
        <v>125</v>
      </c>
      <c r="I240" s="6" t="s">
        <v>8</v>
      </c>
      <c r="J240" s="6" t="s">
        <v>8</v>
      </c>
      <c r="K240" s="6">
        <v>1</v>
      </c>
      <c r="L240" s="6">
        <v>0</v>
      </c>
      <c r="M240" s="6">
        <f t="shared" si="4"/>
        <v>1</v>
      </c>
      <c r="N240" s="6" t="s">
        <v>1170</v>
      </c>
      <c r="O240" s="6" t="s">
        <v>1171</v>
      </c>
      <c r="S240" s="6" t="str">
        <f>HYPERLINK(".\links\NR-LIGHT\TI-408-NR-LIGHT.txt","RDRP")</f>
        <v>RDRP</v>
      </c>
      <c r="T240" s="6" t="str">
        <f>HYPERLINK("http://www.ncbi.nlm.nih.gov/sutils/blink.cgi?pid=262092990","0.61")</f>
        <v>0.61</v>
      </c>
      <c r="U240" s="6" t="str">
        <f>HYPERLINK("http://www.ncbi.nlm.nih.gov/protein/262092990","gi|262092990")</f>
        <v>gi|262092990</v>
      </c>
      <c r="V240" s="6">
        <v>35</v>
      </c>
      <c r="W240" s="6">
        <v>36</v>
      </c>
      <c r="X240" s="6">
        <v>216</v>
      </c>
      <c r="Y240" s="6">
        <v>40</v>
      </c>
      <c r="Z240" s="6">
        <v>17</v>
      </c>
      <c r="AA240" s="6">
        <v>22</v>
      </c>
      <c r="AB240" s="6">
        <v>0</v>
      </c>
      <c r="AC240" s="6">
        <v>35</v>
      </c>
      <c r="AD240" s="6">
        <v>1</v>
      </c>
      <c r="AE240" s="6">
        <v>1</v>
      </c>
      <c r="AG240" s="6" t="s">
        <v>13</v>
      </c>
      <c r="AH240" s="6" t="s">
        <v>51</v>
      </c>
      <c r="AI240" s="6" t="s">
        <v>286</v>
      </c>
      <c r="AJ240" s="6" t="s">
        <v>8</v>
      </c>
      <c r="AX240" s="6" t="s">
        <v>8</v>
      </c>
      <c r="BK240" s="6" t="s">
        <v>8</v>
      </c>
      <c r="CB240" s="6" t="s">
        <v>8</v>
      </c>
      <c r="CE240" s="6" t="s">
        <v>8</v>
      </c>
      <c r="CH240" s="6" t="s">
        <v>8</v>
      </c>
      <c r="CJ240" s="6" t="s">
        <v>8</v>
      </c>
      <c r="CL240" s="6" t="s">
        <v>8</v>
      </c>
      <c r="CN240" s="6" t="s">
        <v>8</v>
      </c>
      <c r="DB240" s="6" t="s">
        <v>8</v>
      </c>
    </row>
    <row r="241" spans="1:119" s="6" customFormat="1">
      <c r="A241" t="str">
        <f>HYPERLINK(".\links\pep\TI-407-pep.txt","TI-407")</f>
        <v>TI-407</v>
      </c>
      <c r="B241">
        <v>407</v>
      </c>
      <c r="C241" t="s">
        <v>16</v>
      </c>
      <c r="D241">
        <v>53</v>
      </c>
      <c r="E241">
        <v>0</v>
      </c>
      <c r="F241" t="str">
        <f>HYPERLINK(".\links\cds\TI-407-cds.txt","TI-407")</f>
        <v>TI-407</v>
      </c>
      <c r="G241">
        <v>162</v>
      </c>
      <c r="H241"/>
      <c r="I241" t="s">
        <v>8</v>
      </c>
      <c r="J241" t="s">
        <v>6</v>
      </c>
      <c r="K241">
        <v>1</v>
      </c>
      <c r="L241">
        <v>0</v>
      </c>
      <c r="M241">
        <f t="shared" si="4"/>
        <v>1</v>
      </c>
      <c r="N241" t="s">
        <v>1327</v>
      </c>
      <c r="O241" t="s">
        <v>1172</v>
      </c>
      <c r="P241" t="str">
        <f>HYPERLINK(".\links\NR-LIGHT\TI-407-NR-LIGHT.txt","NR-LIGHT")</f>
        <v>NR-LIGHT</v>
      </c>
      <c r="Q241">
        <v>2E-12</v>
      </c>
      <c r="R241">
        <v>19.7</v>
      </c>
      <c r="S241" t="str">
        <f>HYPERLINK(".\links\NR-LIGHT\TI-407-NR-LIGHT.txt","Aquaporin AQPcic, putative")</f>
        <v>Aquaporin AQPcic, putative</v>
      </c>
      <c r="T241" t="str">
        <f>HYPERLINK("http://www.ncbi.nlm.nih.gov/sutils/blink.cgi?pid=242018018","2E-012")</f>
        <v>2E-012</v>
      </c>
      <c r="U241" t="str">
        <f>HYPERLINK("http://www.ncbi.nlm.nih.gov/protein/242018018","gi|242018018")</f>
        <v>gi|242018018</v>
      </c>
      <c r="V241">
        <v>73.599999999999994</v>
      </c>
      <c r="W241">
        <v>51</v>
      </c>
      <c r="X241">
        <v>263</v>
      </c>
      <c r="Y241">
        <v>65</v>
      </c>
      <c r="Z241">
        <v>20</v>
      </c>
      <c r="AA241">
        <v>18</v>
      </c>
      <c r="AB241">
        <v>0</v>
      </c>
      <c r="AC241">
        <v>198</v>
      </c>
      <c r="AD241">
        <v>1</v>
      </c>
      <c r="AE241">
        <v>1</v>
      </c>
      <c r="AF241"/>
      <c r="AG241" t="s">
        <v>13</v>
      </c>
      <c r="AH241" t="s">
        <v>51</v>
      </c>
      <c r="AI241" t="s">
        <v>268</v>
      </c>
      <c r="AJ241" t="str">
        <f>HYPERLINK(".\links\SWISSP\TI-407-SWISSP.txt","Aquaporin-4 OS=Mus musculus GN=Aqp4 PE=2 SV=2")</f>
        <v>Aquaporin-4 OS=Mus musculus GN=Aqp4 PE=2 SV=2</v>
      </c>
      <c r="AK241" t="str">
        <f>HYPERLINK("http://www.uniprot.org/uniprot/P55088","3E-010")</f>
        <v>3E-010</v>
      </c>
      <c r="AL241" t="s">
        <v>215</v>
      </c>
      <c r="AM241">
        <v>63.9</v>
      </c>
      <c r="AN241">
        <v>50</v>
      </c>
      <c r="AO241">
        <v>323</v>
      </c>
      <c r="AP241">
        <v>50</v>
      </c>
      <c r="AQ241">
        <v>16</v>
      </c>
      <c r="AR241">
        <v>25</v>
      </c>
      <c r="AS241">
        <v>0</v>
      </c>
      <c r="AT241">
        <v>210</v>
      </c>
      <c r="AU241">
        <v>1</v>
      </c>
      <c r="AV241">
        <v>1</v>
      </c>
      <c r="AW241" t="s">
        <v>87</v>
      </c>
      <c r="AX241" t="str">
        <f>HYPERLINK(".\links\PREV-RHOD-PEP\TI-407-PREV-RHOD-PEP.txt","Contig4234_4")</f>
        <v>Contig4234_4</v>
      </c>
      <c r="AY241" s="3">
        <v>4.9999999999999995E-22</v>
      </c>
      <c r="AZ241" t="s">
        <v>1129</v>
      </c>
      <c r="BA241">
        <v>99.4</v>
      </c>
      <c r="BB241">
        <v>49</v>
      </c>
      <c r="BC241">
        <v>326</v>
      </c>
      <c r="BD241">
        <v>92</v>
      </c>
      <c r="BE241">
        <v>15</v>
      </c>
      <c r="BF241">
        <v>4</v>
      </c>
      <c r="BG241">
        <v>0</v>
      </c>
      <c r="BH241">
        <v>154</v>
      </c>
      <c r="BI241">
        <v>1</v>
      </c>
      <c r="BJ241">
        <v>1</v>
      </c>
      <c r="BK241" t="s">
        <v>870</v>
      </c>
      <c r="BL241">
        <f>HYPERLINK(".\links\GO\TI-407-GO.txt",0.00000000007)</f>
        <v>7.0000000000000004E-11</v>
      </c>
      <c r="BM241" t="s">
        <v>421</v>
      </c>
      <c r="BN241" t="s">
        <v>319</v>
      </c>
      <c r="BO241" t="s">
        <v>422</v>
      </c>
      <c r="BP241" t="s">
        <v>423</v>
      </c>
      <c r="BQ241">
        <v>7.0000000000000004E-11</v>
      </c>
      <c r="BR241" t="s">
        <v>871</v>
      </c>
      <c r="BS241" t="s">
        <v>323</v>
      </c>
      <c r="BT241" t="s">
        <v>324</v>
      </c>
      <c r="BU241" t="s">
        <v>872</v>
      </c>
      <c r="BV241">
        <v>7.0000000000000004E-11</v>
      </c>
      <c r="BW241" t="s">
        <v>873</v>
      </c>
      <c r="BX241" t="s">
        <v>319</v>
      </c>
      <c r="BY241" t="s">
        <v>422</v>
      </c>
      <c r="BZ241" t="s">
        <v>874</v>
      </c>
      <c r="CA241">
        <v>7.0000000000000004E-11</v>
      </c>
      <c r="CB241" t="s">
        <v>8</v>
      </c>
      <c r="CC241"/>
      <c r="CD241"/>
      <c r="CE241" t="s">
        <v>8</v>
      </c>
      <c r="CF241"/>
      <c r="CG241"/>
      <c r="CH241" t="s">
        <v>8</v>
      </c>
      <c r="CI241"/>
      <c r="CJ241" t="s">
        <v>8</v>
      </c>
      <c r="CK241"/>
      <c r="CL241" t="s">
        <v>8</v>
      </c>
      <c r="CM241"/>
      <c r="CN241" t="s">
        <v>8</v>
      </c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 t="s">
        <v>8</v>
      </c>
      <c r="DC241"/>
      <c r="DD241"/>
      <c r="DE241"/>
      <c r="DF241"/>
      <c r="DG241"/>
      <c r="DH241"/>
      <c r="DI241"/>
      <c r="DJ241"/>
      <c r="DK241"/>
      <c r="DL241"/>
      <c r="DM241"/>
      <c r="DN241"/>
      <c r="DO241"/>
    </row>
    <row r="242" spans="1:119" s="6" customFormat="1">
      <c r="A242" s="6" t="str">
        <f>HYPERLINK(".\links\pep\TI-406-pep.txt","TI-406")</f>
        <v>TI-406</v>
      </c>
      <c r="B242" s="6">
        <v>406</v>
      </c>
      <c r="C242" s="6" t="s">
        <v>10</v>
      </c>
      <c r="D242" s="6">
        <v>20</v>
      </c>
      <c r="E242" s="6">
        <v>0</v>
      </c>
      <c r="F242" s="6" t="str">
        <f>HYPERLINK(".\links\cds\TI-406-cds.txt","TI-406")</f>
        <v>TI-406</v>
      </c>
      <c r="G242" s="6">
        <v>63</v>
      </c>
      <c r="I242" s="6" t="s">
        <v>8</v>
      </c>
      <c r="J242" s="6" t="s">
        <v>6</v>
      </c>
      <c r="K242" s="6">
        <v>1</v>
      </c>
      <c r="L242" s="6">
        <v>0</v>
      </c>
      <c r="M242" s="6">
        <f t="shared" si="4"/>
        <v>1</v>
      </c>
      <c r="N242" s="6" t="s">
        <v>1170</v>
      </c>
      <c r="O242" s="6" t="s">
        <v>1171</v>
      </c>
      <c r="S242" s="6" t="s">
        <v>8</v>
      </c>
      <c r="AJ242" s="6" t="s">
        <v>8</v>
      </c>
      <c r="AX242" s="6" t="s">
        <v>8</v>
      </c>
      <c r="BK242" s="6" t="s">
        <v>8</v>
      </c>
      <c r="CB242" s="6" t="s">
        <v>8</v>
      </c>
      <c r="CE242" s="6" t="s">
        <v>8</v>
      </c>
      <c r="CH242" s="6" t="s">
        <v>8</v>
      </c>
      <c r="CJ242" s="6" t="s">
        <v>8</v>
      </c>
      <c r="CL242" s="6" t="s">
        <v>8</v>
      </c>
      <c r="CN242" s="6" t="s">
        <v>8</v>
      </c>
      <c r="DB242" s="6" t="s">
        <v>8</v>
      </c>
    </row>
    <row r="243" spans="1:119" s="6" customFormat="1">
      <c r="A243" t="str">
        <f>HYPERLINK(".\links\pep\TI-405-pep.txt","TI-405")</f>
        <v>TI-405</v>
      </c>
      <c r="B243">
        <v>405</v>
      </c>
      <c r="C243" t="s">
        <v>11</v>
      </c>
      <c r="D243">
        <v>163</v>
      </c>
      <c r="E243">
        <v>0</v>
      </c>
      <c r="F243" t="str">
        <f>HYPERLINK(".\links\cds\TI-405-cds.txt","TI-405")</f>
        <v>TI-405</v>
      </c>
      <c r="G243">
        <v>492</v>
      </c>
      <c r="H243"/>
      <c r="I243" t="s">
        <v>8</v>
      </c>
      <c r="J243" t="s">
        <v>6</v>
      </c>
      <c r="K243">
        <v>1</v>
      </c>
      <c r="L243">
        <v>0</v>
      </c>
      <c r="M243">
        <f t="shared" si="4"/>
        <v>1</v>
      </c>
      <c r="N243" t="s">
        <v>1229</v>
      </c>
      <c r="O243" t="s">
        <v>1169</v>
      </c>
      <c r="P243" t="str">
        <f>HYPERLINK(".\links\GO\TI-405-GO.txt","GO")</f>
        <v>GO</v>
      </c>
      <c r="Q243" s="3">
        <v>1E-58</v>
      </c>
      <c r="R243">
        <v>16.600000000000001</v>
      </c>
      <c r="S243" t="str">
        <f>HYPERLINK(".\links\NR-LIGHT\TI-405-NR-LIGHT.txt","Cytoplasmic polyadenylation element-binding protein, putative")</f>
        <v>Cytoplasmic polyadenylation element-binding protein, putative</v>
      </c>
      <c r="T243" t="str">
        <f>HYPERLINK("http://www.ncbi.nlm.nih.gov/sutils/blink.cgi?pid=242019529","8E-060")</f>
        <v>8E-060</v>
      </c>
      <c r="U243" t="str">
        <f>HYPERLINK("http://www.ncbi.nlm.nih.gov/protein/242019529","gi|242019529")</f>
        <v>gi|242019529</v>
      </c>
      <c r="V243">
        <v>231</v>
      </c>
      <c r="W243">
        <v>145</v>
      </c>
      <c r="X243">
        <v>375</v>
      </c>
      <c r="Y243">
        <v>71</v>
      </c>
      <c r="Z243">
        <v>39</v>
      </c>
      <c r="AA243">
        <v>42</v>
      </c>
      <c r="AB243">
        <v>0</v>
      </c>
      <c r="AC243">
        <v>217</v>
      </c>
      <c r="AD243">
        <v>13</v>
      </c>
      <c r="AE243">
        <v>1</v>
      </c>
      <c r="AF243"/>
      <c r="AG243" t="s">
        <v>13</v>
      </c>
      <c r="AH243" t="s">
        <v>51</v>
      </c>
      <c r="AI243" t="s">
        <v>268</v>
      </c>
      <c r="AJ243" t="str">
        <f>HYPERLINK(".\links\SWISSP\TI-405-SWISSP.txt","Cytoplasmic polyadenylation element-binding protein 1-A OS=Xenopus laevis")</f>
        <v>Cytoplasmic polyadenylation element-binding protein 1-A OS=Xenopus laevis</v>
      </c>
      <c r="AK243" t="str">
        <f>HYPERLINK("http://www.uniprot.org/uniprot/Q91572","2E-057")</f>
        <v>2E-057</v>
      </c>
      <c r="AL243" t="s">
        <v>213</v>
      </c>
      <c r="AM243">
        <v>221</v>
      </c>
      <c r="AN243">
        <v>141</v>
      </c>
      <c r="AO243">
        <v>568</v>
      </c>
      <c r="AP243">
        <v>69</v>
      </c>
      <c r="AQ243">
        <v>25</v>
      </c>
      <c r="AR243">
        <v>43</v>
      </c>
      <c r="AS243">
        <v>0</v>
      </c>
      <c r="AT243">
        <v>425</v>
      </c>
      <c r="AU243">
        <v>12</v>
      </c>
      <c r="AV243">
        <v>1</v>
      </c>
      <c r="AW243" t="s">
        <v>214</v>
      </c>
      <c r="AX243" t="str">
        <f>HYPERLINK(".\links\PREV-RHOD-PEP\TI-405-PREV-RHOD-PEP.txt","Contig8391_3")</f>
        <v>Contig8391_3</v>
      </c>
      <c r="AY243" s="3">
        <v>9.9999999999999995E-58</v>
      </c>
      <c r="AZ243" t="s">
        <v>1128</v>
      </c>
      <c r="BA243">
        <v>218</v>
      </c>
      <c r="BB243">
        <v>119</v>
      </c>
      <c r="BC243">
        <v>579</v>
      </c>
      <c r="BD243">
        <v>88</v>
      </c>
      <c r="BE243">
        <v>21</v>
      </c>
      <c r="BF243">
        <v>14</v>
      </c>
      <c r="BG243">
        <v>5</v>
      </c>
      <c r="BH243">
        <v>438</v>
      </c>
      <c r="BI243">
        <v>6</v>
      </c>
      <c r="BJ243">
        <v>1</v>
      </c>
      <c r="BK243" t="s">
        <v>865</v>
      </c>
      <c r="BL243">
        <f>HYPERLINK(".\links\GO\TI-405-GO.txt",1E-58)</f>
        <v>1E-58</v>
      </c>
      <c r="BM243" t="s">
        <v>866</v>
      </c>
      <c r="BN243" t="s">
        <v>340</v>
      </c>
      <c r="BO243" t="s">
        <v>468</v>
      </c>
      <c r="BP243" t="s">
        <v>867</v>
      </c>
      <c r="BQ243" s="3">
        <v>1E-58</v>
      </c>
      <c r="BR243" t="s">
        <v>356</v>
      </c>
      <c r="BS243" t="s">
        <v>323</v>
      </c>
      <c r="BT243" t="s">
        <v>334</v>
      </c>
      <c r="BU243" t="s">
        <v>357</v>
      </c>
      <c r="BV243" s="3">
        <v>1E-58</v>
      </c>
      <c r="BW243" t="s">
        <v>868</v>
      </c>
      <c r="BX243" t="s">
        <v>340</v>
      </c>
      <c r="BY243" t="s">
        <v>468</v>
      </c>
      <c r="BZ243" t="s">
        <v>869</v>
      </c>
      <c r="CA243" s="3">
        <v>1E-58</v>
      </c>
      <c r="CB243" t="s">
        <v>8</v>
      </c>
      <c r="CC243"/>
      <c r="CD243"/>
      <c r="CE243" t="s">
        <v>8</v>
      </c>
      <c r="CF243"/>
      <c r="CG243"/>
      <c r="CH243" t="s">
        <v>8</v>
      </c>
      <c r="CI243"/>
      <c r="CJ243" t="s">
        <v>8</v>
      </c>
      <c r="CK243"/>
      <c r="CL243" t="s">
        <v>8</v>
      </c>
      <c r="CM243"/>
      <c r="CN243" t="s">
        <v>8</v>
      </c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 t="s">
        <v>8</v>
      </c>
      <c r="DC243"/>
      <c r="DD243"/>
      <c r="DE243"/>
      <c r="DF243"/>
      <c r="DG243"/>
      <c r="DH243"/>
      <c r="DI243"/>
      <c r="DJ243"/>
      <c r="DK243"/>
      <c r="DL243"/>
      <c r="DM243"/>
      <c r="DN243"/>
      <c r="DO243"/>
    </row>
    <row r="244" spans="1:119" s="6" customFormat="1">
      <c r="A244" s="6" t="str">
        <f>HYPERLINK(".\links\pep\TI-401-pep.txt","TI-401")</f>
        <v>TI-401</v>
      </c>
      <c r="B244" s="6">
        <v>401</v>
      </c>
      <c r="C244" s="6" t="s">
        <v>13</v>
      </c>
      <c r="D244" s="6">
        <v>98</v>
      </c>
      <c r="E244" s="7">
        <v>2.040816</v>
      </c>
      <c r="F244" s="6" t="str">
        <f>HYPERLINK(".\links\cds\TI-401-cds.txt","TI-401")</f>
        <v>TI-401</v>
      </c>
      <c r="G244" s="6">
        <v>292</v>
      </c>
      <c r="I244" s="6" t="s">
        <v>8</v>
      </c>
      <c r="J244" s="6" t="s">
        <v>8</v>
      </c>
      <c r="K244" s="6">
        <v>1</v>
      </c>
      <c r="L244" s="6">
        <v>0</v>
      </c>
      <c r="M244" s="6">
        <f t="shared" si="4"/>
        <v>1</v>
      </c>
      <c r="N244" s="6" t="s">
        <v>1170</v>
      </c>
      <c r="O244" s="6" t="s">
        <v>1171</v>
      </c>
      <c r="S244" s="6" t="str">
        <f>HYPERLINK(".\links\NR-LIGHT\TI-401-NR-LIGHT.txt","hypothetical protein TcasGA2_TC012685")</f>
        <v>hypothetical protein TcasGA2_TC012685</v>
      </c>
      <c r="T244" s="6" t="str">
        <f>HYPERLINK("http://www.ncbi.nlm.nih.gov/sutils/blink.cgi?pid=270013992","0.67")</f>
        <v>0.67</v>
      </c>
      <c r="U244" s="6" t="str">
        <f>HYPERLINK("http://www.ncbi.nlm.nih.gov/protein/270013992","gi|270013992")</f>
        <v>gi|270013992</v>
      </c>
      <c r="V244" s="6">
        <v>35</v>
      </c>
      <c r="W244" s="6">
        <v>17</v>
      </c>
      <c r="X244" s="6">
        <v>277</v>
      </c>
      <c r="Y244" s="6">
        <v>83</v>
      </c>
      <c r="Z244" s="6">
        <v>6</v>
      </c>
      <c r="AA244" s="6">
        <v>3</v>
      </c>
      <c r="AB244" s="6">
        <v>0</v>
      </c>
      <c r="AC244" s="6">
        <v>84</v>
      </c>
      <c r="AD244" s="6">
        <v>16</v>
      </c>
      <c r="AE244" s="6">
        <v>1</v>
      </c>
      <c r="AG244" s="6" t="s">
        <v>13</v>
      </c>
      <c r="AH244" s="6" t="s">
        <v>51</v>
      </c>
      <c r="AI244" s="6" t="s">
        <v>266</v>
      </c>
      <c r="AJ244" s="6" t="s">
        <v>8</v>
      </c>
      <c r="AX244" s="6" t="str">
        <f>HYPERLINK(".\links\PREV-RHOD-PEP\TI-401-PREV-RHOD-PEP.txt","Contig18031_39")</f>
        <v>Contig18031_39</v>
      </c>
      <c r="AY244" s="8">
        <v>1.0000000000000001E-9</v>
      </c>
      <c r="AZ244" s="6" t="s">
        <v>1015</v>
      </c>
      <c r="BA244" s="6">
        <v>58.2</v>
      </c>
      <c r="BB244" s="6">
        <v>51</v>
      </c>
      <c r="BC244" s="6">
        <v>212</v>
      </c>
      <c r="BD244" s="6">
        <v>61</v>
      </c>
      <c r="BE244" s="6">
        <v>25</v>
      </c>
      <c r="BF244" s="6">
        <v>20</v>
      </c>
      <c r="BG244" s="6">
        <v>1</v>
      </c>
      <c r="BH244" s="6">
        <v>53</v>
      </c>
      <c r="BI244" s="6">
        <v>16</v>
      </c>
      <c r="BJ244" s="6">
        <v>1</v>
      </c>
      <c r="BK244" s="6" t="s">
        <v>8</v>
      </c>
      <c r="CB244" s="6" t="s">
        <v>8</v>
      </c>
      <c r="CE244" s="6" t="s">
        <v>8</v>
      </c>
      <c r="CH244" s="6" t="s">
        <v>8</v>
      </c>
      <c r="CJ244" s="6" t="s">
        <v>8</v>
      </c>
      <c r="CL244" s="6" t="s">
        <v>8</v>
      </c>
      <c r="CN244" s="6" t="s">
        <v>8</v>
      </c>
      <c r="DB244" s="6" t="s">
        <v>8</v>
      </c>
    </row>
    <row r="245" spans="1:119" s="6" customFormat="1">
      <c r="A245" s="6" t="str">
        <f>HYPERLINK(".\links\pep\TI-400-pep.txt","TI-400")</f>
        <v>TI-400</v>
      </c>
      <c r="B245" s="6">
        <v>400</v>
      </c>
      <c r="C245" s="6" t="s">
        <v>10</v>
      </c>
      <c r="D245" s="6">
        <v>34</v>
      </c>
      <c r="E245" s="6">
        <v>0</v>
      </c>
      <c r="F245" s="6" t="str">
        <f>HYPERLINK(".\links\cds\TI-400-cds.txt","TI-400")</f>
        <v>TI-400</v>
      </c>
      <c r="G245" s="6">
        <v>100</v>
      </c>
      <c r="I245" s="6" t="s">
        <v>8</v>
      </c>
      <c r="J245" s="6" t="s">
        <v>8</v>
      </c>
      <c r="K245" s="6">
        <v>1</v>
      </c>
      <c r="L245" s="6">
        <v>0</v>
      </c>
      <c r="M245" s="6">
        <f t="shared" si="4"/>
        <v>1</v>
      </c>
      <c r="N245" s="6" t="s">
        <v>1170</v>
      </c>
      <c r="O245" s="6" t="s">
        <v>1171</v>
      </c>
      <c r="S245" s="6" t="s">
        <v>8</v>
      </c>
      <c r="AJ245" s="6" t="s">
        <v>8</v>
      </c>
      <c r="AX245" s="6" t="s">
        <v>8</v>
      </c>
      <c r="BK245" s="6" t="s">
        <v>8</v>
      </c>
      <c r="CB245" s="6" t="s">
        <v>8</v>
      </c>
      <c r="CE245" s="6" t="s">
        <v>8</v>
      </c>
      <c r="CH245" s="6" t="s">
        <v>8</v>
      </c>
      <c r="CJ245" s="6" t="s">
        <v>8</v>
      </c>
      <c r="CL245" s="6" t="s">
        <v>8</v>
      </c>
      <c r="CN245" s="6" t="s">
        <v>8</v>
      </c>
      <c r="DB245" s="6" t="s">
        <v>8</v>
      </c>
    </row>
    <row r="246" spans="1:119" s="6" customFormat="1">
      <c r="A246" t="str">
        <f>HYPERLINK(".\links\pep\TI-40-pep.txt","TI-40")</f>
        <v>TI-40</v>
      </c>
      <c r="B246">
        <v>40</v>
      </c>
      <c r="C246" t="s">
        <v>26</v>
      </c>
      <c r="D246">
        <v>233</v>
      </c>
      <c r="E246">
        <v>0</v>
      </c>
      <c r="F246" t="str">
        <f>HYPERLINK(".\links\cds\TI-40-cds.txt","TI-40")</f>
        <v>TI-40</v>
      </c>
      <c r="G246">
        <v>697</v>
      </c>
      <c r="H246"/>
      <c r="I246" t="s">
        <v>8</v>
      </c>
      <c r="J246" t="s">
        <v>8</v>
      </c>
      <c r="K246">
        <v>2</v>
      </c>
      <c r="L246">
        <v>0</v>
      </c>
      <c r="M246">
        <f t="shared" si="4"/>
        <v>2</v>
      </c>
      <c r="N246" t="s">
        <v>1182</v>
      </c>
      <c r="O246" t="s">
        <v>1169</v>
      </c>
      <c r="P246" t="str">
        <f>HYPERLINK(".\links\GO\TI-40-GO.txt","GO")</f>
        <v>GO</v>
      </c>
      <c r="Q246" s="3">
        <v>2.9999999999999999E-41</v>
      </c>
      <c r="R246">
        <v>3</v>
      </c>
      <c r="S246" t="str">
        <f>HYPERLINK(".\links\NR-LIGHT\TI-40-NR-LIGHT.txt","hypothetical protein TcasGA2_TC012900")</f>
        <v>hypothetical protein TcasGA2_TC012900</v>
      </c>
      <c r="T246" t="str">
        <f>HYPERLINK("http://www.ncbi.nlm.nih.gov/sutils/blink.cgi?pid=270016051","1E-074")</f>
        <v>1E-074</v>
      </c>
      <c r="U246" t="str">
        <f>HYPERLINK("http://www.ncbi.nlm.nih.gov/protein/270016051","gi|270016051")</f>
        <v>gi|270016051</v>
      </c>
      <c r="V246">
        <v>281</v>
      </c>
      <c r="W246">
        <v>228</v>
      </c>
      <c r="X246">
        <v>1457</v>
      </c>
      <c r="Y246">
        <v>62</v>
      </c>
      <c r="Z246">
        <v>16</v>
      </c>
      <c r="AA246">
        <v>87</v>
      </c>
      <c r="AB246">
        <v>10</v>
      </c>
      <c r="AC246">
        <v>1085</v>
      </c>
      <c r="AD246">
        <v>15</v>
      </c>
      <c r="AE246">
        <v>1</v>
      </c>
      <c r="AF246"/>
      <c r="AG246" t="s">
        <v>13</v>
      </c>
      <c r="AH246" t="s">
        <v>51</v>
      </c>
      <c r="AI246" t="s">
        <v>266</v>
      </c>
      <c r="AJ246" t="str">
        <f>HYPERLINK(".\links\SWISSP\TI-40-SWISSP.txt","Midasin OS=Homo sapiens GN=MDN1 PE=1 SV=2")</f>
        <v>Midasin OS=Homo sapiens GN=MDN1 PE=1 SV=2</v>
      </c>
      <c r="AK246" t="str">
        <f>HYPERLINK("http://www.uniprot.org/uniprot/Q9NU22","7E-053")</f>
        <v>7E-053</v>
      </c>
      <c r="AL246" t="s">
        <v>119</v>
      </c>
      <c r="AM246">
        <v>207</v>
      </c>
      <c r="AN246">
        <v>164</v>
      </c>
      <c r="AO246">
        <v>5596</v>
      </c>
      <c r="AP246">
        <v>60</v>
      </c>
      <c r="AQ246">
        <v>3</v>
      </c>
      <c r="AR246">
        <v>66</v>
      </c>
      <c r="AS246">
        <v>7</v>
      </c>
      <c r="AT246">
        <v>5284</v>
      </c>
      <c r="AU246">
        <v>74</v>
      </c>
      <c r="AV246">
        <v>1</v>
      </c>
      <c r="AW246" t="s">
        <v>68</v>
      </c>
      <c r="AX246" t="str">
        <f>HYPERLINK(".\links\PREV-RHOD-PEP\TI-40-PREV-RHOD-PEP.txt","Contig17834_1")</f>
        <v>Contig17834_1</v>
      </c>
      <c r="AY246" s="3">
        <v>9.9999999999999999E-119</v>
      </c>
      <c r="AZ246" t="s">
        <v>1035</v>
      </c>
      <c r="BA246">
        <v>420</v>
      </c>
      <c r="BB246">
        <v>222</v>
      </c>
      <c r="BC246">
        <v>1363</v>
      </c>
      <c r="BD246">
        <v>91</v>
      </c>
      <c r="BE246">
        <v>16</v>
      </c>
      <c r="BF246">
        <v>19</v>
      </c>
      <c r="BG246">
        <v>1</v>
      </c>
      <c r="BH246">
        <v>909</v>
      </c>
      <c r="BI246">
        <v>12</v>
      </c>
      <c r="BJ246">
        <v>1</v>
      </c>
      <c r="BK246" t="s">
        <v>542</v>
      </c>
      <c r="BL246">
        <f>HYPERLINK(".\links\GO\TI-40-GO.txt",2E-44)</f>
        <v>1.9999999999999999E-44</v>
      </c>
      <c r="BM246" t="s">
        <v>543</v>
      </c>
      <c r="BN246" t="s">
        <v>345</v>
      </c>
      <c r="BO246" t="s">
        <v>349</v>
      </c>
      <c r="BP246" t="s">
        <v>544</v>
      </c>
      <c r="BQ246" s="3">
        <v>1.9999999999999999E-44</v>
      </c>
      <c r="BR246" t="s">
        <v>447</v>
      </c>
      <c r="BS246" t="s">
        <v>323</v>
      </c>
      <c r="BT246" t="s">
        <v>334</v>
      </c>
      <c r="BU246" t="s">
        <v>448</v>
      </c>
      <c r="BV246" s="3">
        <v>1.9999999999999999E-44</v>
      </c>
      <c r="BW246" t="s">
        <v>545</v>
      </c>
      <c r="BX246" t="s">
        <v>345</v>
      </c>
      <c r="BY246" t="s">
        <v>349</v>
      </c>
      <c r="BZ246" t="s">
        <v>546</v>
      </c>
      <c r="CA246" s="3">
        <v>1.9999999999999999E-44</v>
      </c>
      <c r="CB246" t="s">
        <v>8</v>
      </c>
      <c r="CC246"/>
      <c r="CD246"/>
      <c r="CE246" t="s">
        <v>8</v>
      </c>
      <c r="CF246"/>
      <c r="CG246"/>
      <c r="CH246" t="s">
        <v>8</v>
      </c>
      <c r="CI246"/>
      <c r="CJ246" t="s">
        <v>8</v>
      </c>
      <c r="CK246"/>
      <c r="CL246" t="s">
        <v>8</v>
      </c>
      <c r="CM246"/>
      <c r="CN246" t="s">
        <v>8</v>
      </c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 t="s">
        <v>8</v>
      </c>
      <c r="DC246"/>
      <c r="DD246"/>
      <c r="DE246"/>
      <c r="DF246"/>
      <c r="DG246"/>
      <c r="DH246"/>
      <c r="DI246"/>
      <c r="DJ246"/>
      <c r="DK246"/>
      <c r="DL246"/>
      <c r="DM246"/>
      <c r="DN246"/>
      <c r="DO246"/>
    </row>
    <row r="247" spans="1:119" s="6" customFormat="1">
      <c r="A247" s="6" t="str">
        <f>HYPERLINK(".\links\pep\TI-396-pep.txt","TI-396")</f>
        <v>TI-396</v>
      </c>
      <c r="B247" s="6">
        <v>396</v>
      </c>
      <c r="C247" s="6" t="s">
        <v>14</v>
      </c>
      <c r="D247" s="6">
        <v>125</v>
      </c>
      <c r="E247" s="6">
        <v>0</v>
      </c>
      <c r="F247" s="6" t="str">
        <f>HYPERLINK(".\links\cds\TI-396-cds.txt","TI-396")</f>
        <v>TI-396</v>
      </c>
      <c r="G247" s="6">
        <v>378</v>
      </c>
      <c r="I247" s="6" t="s">
        <v>8</v>
      </c>
      <c r="J247" s="6" t="s">
        <v>6</v>
      </c>
      <c r="K247" s="6">
        <v>1</v>
      </c>
      <c r="L247" s="6">
        <v>0</v>
      </c>
      <c r="M247" s="6">
        <f t="shared" si="4"/>
        <v>1</v>
      </c>
      <c r="N247" s="6" t="s">
        <v>1170</v>
      </c>
      <c r="O247" s="6" t="s">
        <v>1171</v>
      </c>
      <c r="S247" s="6" t="str">
        <f>HYPERLINK(".\links\NR-LIGHT\TI-396-NR-LIGHT.txt","kininogen 1, isoform CRA_b")</f>
        <v>kininogen 1, isoform CRA_b</v>
      </c>
      <c r="T247" s="6" t="str">
        <f>HYPERLINK("http://www.ncbi.nlm.nih.gov/sutils/blink.cgi?pid=119598586","5E-004")</f>
        <v>5E-004</v>
      </c>
      <c r="U247" s="6" t="str">
        <f>HYPERLINK("http://www.ncbi.nlm.nih.gov/protein/119598586","gi|119598586")</f>
        <v>gi|119598586</v>
      </c>
      <c r="V247" s="6">
        <v>45.4</v>
      </c>
      <c r="W247" s="6">
        <v>68</v>
      </c>
      <c r="X247" s="6">
        <v>644</v>
      </c>
      <c r="Y247" s="6">
        <v>33</v>
      </c>
      <c r="Z247" s="6">
        <v>11</v>
      </c>
      <c r="AA247" s="6">
        <v>46</v>
      </c>
      <c r="AB247" s="6">
        <v>6</v>
      </c>
      <c r="AC247" s="6">
        <v>262</v>
      </c>
      <c r="AD247" s="6">
        <v>37</v>
      </c>
      <c r="AE247" s="6">
        <v>1</v>
      </c>
      <c r="AG247" s="6" t="s">
        <v>13</v>
      </c>
      <c r="AH247" s="6" t="s">
        <v>51</v>
      </c>
      <c r="AI247" s="6" t="s">
        <v>68</v>
      </c>
      <c r="AJ247" s="6" t="str">
        <f>HYPERLINK(".\links\SWISSP\TI-396-SWISSP.txt","Kininogen-1 OS=Homo sapiens GN=KNG1 PE=1 SV=2")</f>
        <v>Kininogen-1 OS=Homo sapiens GN=KNG1 PE=1 SV=2</v>
      </c>
      <c r="AK247" s="6" t="str">
        <f>HYPERLINK("http://www.uniprot.org/uniprot/P01042","1E-004")</f>
        <v>1E-004</v>
      </c>
      <c r="AL247" s="6" t="s">
        <v>212</v>
      </c>
      <c r="AM247" s="6">
        <v>45.4</v>
      </c>
      <c r="AN247" s="6">
        <v>68</v>
      </c>
      <c r="AO247" s="6">
        <v>644</v>
      </c>
      <c r="AP247" s="6">
        <v>33</v>
      </c>
      <c r="AQ247" s="6">
        <v>11</v>
      </c>
      <c r="AR247" s="6">
        <v>46</v>
      </c>
      <c r="AS247" s="6">
        <v>6</v>
      </c>
      <c r="AT247" s="6">
        <v>262</v>
      </c>
      <c r="AU247" s="6">
        <v>37</v>
      </c>
      <c r="AV247" s="6">
        <v>1</v>
      </c>
      <c r="AW247" s="6" t="s">
        <v>68</v>
      </c>
      <c r="AX247" s="6" t="str">
        <f>HYPERLINK(".\links\PREV-RHOD-PEP\TI-396-PREV-RHOD-PEP.txt","Contig18034_95")</f>
        <v>Contig18034_95</v>
      </c>
      <c r="AY247" s="8">
        <v>7.0000000000000003E-27</v>
      </c>
      <c r="AZ247" s="6" t="s">
        <v>1127</v>
      </c>
      <c r="BA247" s="6">
        <v>115</v>
      </c>
      <c r="BB247" s="6">
        <v>95</v>
      </c>
      <c r="BC247" s="6">
        <v>470</v>
      </c>
      <c r="BD247" s="6">
        <v>58</v>
      </c>
      <c r="BE247" s="6">
        <v>20</v>
      </c>
      <c r="BF247" s="6">
        <v>40</v>
      </c>
      <c r="BG247" s="6">
        <v>1</v>
      </c>
      <c r="BH247" s="6">
        <v>1</v>
      </c>
      <c r="BI247" s="6">
        <v>12</v>
      </c>
      <c r="BJ247" s="6">
        <v>1</v>
      </c>
      <c r="BK247" s="6" t="s">
        <v>858</v>
      </c>
      <c r="BL247" s="6">
        <f>HYPERLINK(".\links\GO\TI-396-GO.txt",0.003)</f>
        <v>3.0000000000000001E-3</v>
      </c>
      <c r="BM247" s="6" t="s">
        <v>859</v>
      </c>
      <c r="BN247" s="6" t="s">
        <v>340</v>
      </c>
      <c r="BO247" s="6" t="s">
        <v>341</v>
      </c>
      <c r="BP247" s="6" t="s">
        <v>860</v>
      </c>
      <c r="BQ247" s="6">
        <v>3.0000000000000001E-3</v>
      </c>
      <c r="BR247" s="6" t="s">
        <v>861</v>
      </c>
      <c r="BS247" s="6" t="s">
        <v>501</v>
      </c>
      <c r="BT247" s="6" t="s">
        <v>752</v>
      </c>
      <c r="BU247" s="6" t="s">
        <v>862</v>
      </c>
      <c r="BV247" s="6">
        <v>3.0000000000000001E-3</v>
      </c>
      <c r="BW247" s="6" t="s">
        <v>863</v>
      </c>
      <c r="BX247" s="6" t="s">
        <v>340</v>
      </c>
      <c r="BY247" s="6" t="s">
        <v>341</v>
      </c>
      <c r="BZ247" s="6" t="s">
        <v>864</v>
      </c>
      <c r="CA247" s="6">
        <v>3.0000000000000001E-3</v>
      </c>
      <c r="CB247" s="6" t="s">
        <v>8</v>
      </c>
      <c r="CE247" s="6" t="s">
        <v>8</v>
      </c>
      <c r="CH247" s="6" t="s">
        <v>8</v>
      </c>
      <c r="CJ247" s="6" t="s">
        <v>8</v>
      </c>
      <c r="CL247" s="6" t="s">
        <v>8</v>
      </c>
      <c r="CN247" s="6" t="s">
        <v>8</v>
      </c>
      <c r="DB247" s="6" t="s">
        <v>8</v>
      </c>
    </row>
    <row r="248" spans="1:119" s="6" customFormat="1">
      <c r="A248" s="6" t="str">
        <f>HYPERLINK(".\links\pep\TI-389-pep.txt","TI-389")</f>
        <v>TI-389</v>
      </c>
      <c r="B248" s="6">
        <v>389</v>
      </c>
      <c r="C248" s="6" t="s">
        <v>23</v>
      </c>
      <c r="D248" s="6">
        <v>12</v>
      </c>
      <c r="E248" s="6">
        <v>0</v>
      </c>
      <c r="F248" s="6" t="str">
        <f>HYPERLINK(".\links\cds\TI-389-cds.txt","TI-389")</f>
        <v>TI-389</v>
      </c>
      <c r="G248" s="6">
        <v>39</v>
      </c>
      <c r="I248" s="6" t="s">
        <v>8</v>
      </c>
      <c r="J248" s="6" t="s">
        <v>6</v>
      </c>
      <c r="K248" s="6">
        <v>1</v>
      </c>
      <c r="L248" s="6">
        <v>0</v>
      </c>
      <c r="M248" s="6">
        <f t="shared" si="4"/>
        <v>1</v>
      </c>
      <c r="N248" s="6" t="s">
        <v>1170</v>
      </c>
      <c r="O248" s="6" t="s">
        <v>1171</v>
      </c>
      <c r="S248" s="6" t="s">
        <v>8</v>
      </c>
      <c r="AJ248" s="6" t="s">
        <v>8</v>
      </c>
      <c r="AX248" s="6" t="s">
        <v>8</v>
      </c>
      <c r="BK248" s="6" t="s">
        <v>8</v>
      </c>
      <c r="CB248" s="6" t="s">
        <v>8</v>
      </c>
      <c r="CE248" s="6" t="s">
        <v>8</v>
      </c>
      <c r="CH248" s="6" t="s">
        <v>8</v>
      </c>
      <c r="CJ248" s="6" t="s">
        <v>8</v>
      </c>
      <c r="CL248" s="6" t="s">
        <v>8</v>
      </c>
      <c r="CN248" s="6" t="s">
        <v>8</v>
      </c>
      <c r="DB248" s="6" t="s">
        <v>8</v>
      </c>
    </row>
    <row r="249" spans="1:119" s="6" customFormat="1">
      <c r="A249" t="str">
        <f>HYPERLINK(".\links\pep\TI-388-pep.txt","TI-388")</f>
        <v>TI-388</v>
      </c>
      <c r="B249">
        <v>388</v>
      </c>
      <c r="C249" t="s">
        <v>7</v>
      </c>
      <c r="D249">
        <v>92</v>
      </c>
      <c r="E249">
        <v>0</v>
      </c>
      <c r="F249" t="str">
        <f>HYPERLINK(".\links\cds\TI-388-cds.txt","TI-388")</f>
        <v>TI-388</v>
      </c>
      <c r="G249">
        <v>279</v>
      </c>
      <c r="H249"/>
      <c r="I249" t="s">
        <v>29</v>
      </c>
      <c r="J249" t="s">
        <v>6</v>
      </c>
      <c r="K249">
        <v>1</v>
      </c>
      <c r="L249">
        <v>0</v>
      </c>
      <c r="M249">
        <f t="shared" si="4"/>
        <v>1</v>
      </c>
      <c r="N249" t="s">
        <v>1228</v>
      </c>
      <c r="O249" t="s">
        <v>1169</v>
      </c>
      <c r="P249" t="str">
        <f>HYPERLINK(".\links\NR-LIGHT\TI-388-NR-LIGHT.txt","NR-LIGHT")</f>
        <v>NR-LIGHT</v>
      </c>
      <c r="Q249" s="3">
        <v>3.0000000000000001E-45</v>
      </c>
      <c r="R249">
        <v>100</v>
      </c>
      <c r="S249" t="str">
        <f>HYPERLINK(".\links\NR-LIGHT\TI-388-NR-LIGHT.txt","60S ribosomal protein L37")</f>
        <v>60S ribosomal protein L37</v>
      </c>
      <c r="T249" t="str">
        <f>HYPERLINK("http://www.ncbi.nlm.nih.gov/sutils/blink.cgi?pid=149689118","3E-045")</f>
        <v>3E-045</v>
      </c>
      <c r="U249" t="str">
        <f>HYPERLINK("http://www.ncbi.nlm.nih.gov/protein/149689118","gi|149689118")</f>
        <v>gi|149689118</v>
      </c>
      <c r="V249">
        <v>182</v>
      </c>
      <c r="W249">
        <v>91</v>
      </c>
      <c r="X249">
        <v>92</v>
      </c>
      <c r="Y249">
        <v>98</v>
      </c>
      <c r="Z249">
        <v>100</v>
      </c>
      <c r="AA249">
        <v>1</v>
      </c>
      <c r="AB249">
        <v>0</v>
      </c>
      <c r="AC249">
        <v>1</v>
      </c>
      <c r="AD249">
        <v>1</v>
      </c>
      <c r="AE249">
        <v>1</v>
      </c>
      <c r="AF249"/>
      <c r="AG249" t="s">
        <v>13</v>
      </c>
      <c r="AH249" t="s">
        <v>51</v>
      </c>
      <c r="AI249" t="s">
        <v>273</v>
      </c>
      <c r="AJ249" t="str">
        <f>HYPERLINK(".\links\SWISSP\TI-388-SWISSP.txt","60S ribosomal protein L37a OS=Drosophila melanogaster GN=RpL37A PE=1 SV=3")</f>
        <v>60S ribosomal protein L37a OS=Drosophila melanogaster GN=RpL37A PE=1 SV=3</v>
      </c>
      <c r="AK249" t="str">
        <f>HYPERLINK("http://www.uniprot.org/uniprot/Q9VMU4","1E-037")</f>
        <v>1E-037</v>
      </c>
      <c r="AL249" t="s">
        <v>211</v>
      </c>
      <c r="AM249">
        <v>154</v>
      </c>
      <c r="AN249">
        <v>90</v>
      </c>
      <c r="AO249">
        <v>92</v>
      </c>
      <c r="AP249">
        <v>84</v>
      </c>
      <c r="AQ249">
        <v>99</v>
      </c>
      <c r="AR249">
        <v>14</v>
      </c>
      <c r="AS249">
        <v>0</v>
      </c>
      <c r="AT249">
        <v>1</v>
      </c>
      <c r="AU249">
        <v>1</v>
      </c>
      <c r="AV249">
        <v>1</v>
      </c>
      <c r="AW249" t="s">
        <v>52</v>
      </c>
      <c r="AX249" t="str">
        <f>HYPERLINK(".\links\PREV-RHOD-PEP\TI-388-PREV-RHOD-PEP.txt","Contig17488_2")</f>
        <v>Contig17488_2</v>
      </c>
      <c r="AY249" s="3">
        <v>6.9999999999999997E-34</v>
      </c>
      <c r="AZ249" t="s">
        <v>1125</v>
      </c>
      <c r="BA249">
        <v>138</v>
      </c>
      <c r="BB249">
        <v>67</v>
      </c>
      <c r="BC249">
        <v>68</v>
      </c>
      <c r="BD249">
        <v>100</v>
      </c>
      <c r="BE249">
        <v>100</v>
      </c>
      <c r="BF249">
        <v>0</v>
      </c>
      <c r="BG249">
        <v>0</v>
      </c>
      <c r="BH249">
        <v>1</v>
      </c>
      <c r="BI249">
        <v>25</v>
      </c>
      <c r="BJ249">
        <v>1</v>
      </c>
      <c r="BK249" t="s">
        <v>857</v>
      </c>
      <c r="BL249">
        <f>HYPERLINK(".\links\GO\TI-388-GO.txt",2E-38)</f>
        <v>1.9999999999999999E-38</v>
      </c>
      <c r="BM249" t="s">
        <v>329</v>
      </c>
      <c r="BN249" t="s">
        <v>330</v>
      </c>
      <c r="BO249" t="s">
        <v>331</v>
      </c>
      <c r="BP249" t="s">
        <v>332</v>
      </c>
      <c r="BQ249" s="3">
        <v>1.9999999999999999E-38</v>
      </c>
      <c r="BR249" t="s">
        <v>333</v>
      </c>
      <c r="BS249" t="s">
        <v>323</v>
      </c>
      <c r="BT249" t="s">
        <v>334</v>
      </c>
      <c r="BU249" t="s">
        <v>335</v>
      </c>
      <c r="BV249" s="3">
        <v>1.9999999999999999E-38</v>
      </c>
      <c r="BW249" t="s">
        <v>336</v>
      </c>
      <c r="BX249" t="s">
        <v>330</v>
      </c>
      <c r="BY249" t="s">
        <v>331</v>
      </c>
      <c r="BZ249" t="s">
        <v>337</v>
      </c>
      <c r="CA249" s="3">
        <v>1.9999999999999999E-38</v>
      </c>
      <c r="CB249" t="s">
        <v>8</v>
      </c>
      <c r="CC249"/>
      <c r="CD249"/>
      <c r="CE249" t="s">
        <v>8</v>
      </c>
      <c r="CF249"/>
      <c r="CG249"/>
      <c r="CH249" t="s">
        <v>8</v>
      </c>
      <c r="CI249"/>
      <c r="CJ249" t="s">
        <v>8</v>
      </c>
      <c r="CK249"/>
      <c r="CL249" t="s">
        <v>8</v>
      </c>
      <c r="CM249"/>
      <c r="CN249" t="s">
        <v>8</v>
      </c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 t="s">
        <v>8</v>
      </c>
      <c r="DC249"/>
      <c r="DD249"/>
      <c r="DE249"/>
      <c r="DF249"/>
      <c r="DG249"/>
      <c r="DH249"/>
      <c r="DI249"/>
      <c r="DJ249"/>
      <c r="DK249"/>
      <c r="DL249"/>
      <c r="DM249"/>
      <c r="DN249"/>
      <c r="DO249"/>
    </row>
    <row r="250" spans="1:119" s="6" customFormat="1">
      <c r="A250" s="6" t="str">
        <f>HYPERLINK(".\links\pep\TI-387-pep.txt","TI-387")</f>
        <v>TI-387</v>
      </c>
      <c r="B250" s="6">
        <v>387</v>
      </c>
      <c r="C250" s="6" t="s">
        <v>12</v>
      </c>
      <c r="D250" s="6">
        <v>15</v>
      </c>
      <c r="E250" s="6">
        <v>0</v>
      </c>
      <c r="F250" s="6" t="str">
        <f>HYPERLINK(".\links\cds\TI-387-cds.txt","TI-387")</f>
        <v>TI-387</v>
      </c>
      <c r="G250" s="6">
        <v>44</v>
      </c>
      <c r="I250" s="6" t="s">
        <v>8</v>
      </c>
      <c r="J250" s="6" t="s">
        <v>8</v>
      </c>
      <c r="K250" s="6">
        <v>2</v>
      </c>
      <c r="L250" s="6">
        <v>0</v>
      </c>
      <c r="M250" s="6">
        <f t="shared" si="4"/>
        <v>2</v>
      </c>
      <c r="N250" s="6" t="s">
        <v>1170</v>
      </c>
      <c r="O250" s="6" t="s">
        <v>1171</v>
      </c>
      <c r="S250" s="6" t="s">
        <v>8</v>
      </c>
      <c r="AJ250" s="6" t="s">
        <v>8</v>
      </c>
      <c r="AX250" s="6" t="s">
        <v>8</v>
      </c>
      <c r="BK250" s="6" t="s">
        <v>8</v>
      </c>
      <c r="CB250" s="6" t="s">
        <v>8</v>
      </c>
      <c r="CE250" s="6" t="s">
        <v>8</v>
      </c>
      <c r="CH250" s="6" t="s">
        <v>8</v>
      </c>
      <c r="CJ250" s="6" t="s">
        <v>8</v>
      </c>
      <c r="CL250" s="6" t="s">
        <v>8</v>
      </c>
      <c r="CN250" s="6" t="s">
        <v>8</v>
      </c>
      <c r="DB250" s="6" t="s">
        <v>8</v>
      </c>
    </row>
    <row r="251" spans="1:119" s="6" customFormat="1">
      <c r="A251" s="6" t="str">
        <f>HYPERLINK(".\links\pep\TI-383-pep.txt","TI-383")</f>
        <v>TI-383</v>
      </c>
      <c r="B251" s="6">
        <v>383</v>
      </c>
      <c r="C251" s="6" t="s">
        <v>12</v>
      </c>
      <c r="D251" s="6">
        <v>153</v>
      </c>
      <c r="E251" s="7">
        <v>0.65359480000000003</v>
      </c>
      <c r="F251" s="6" t="str">
        <f>HYPERLINK(".\links\cds\TI-383-cds.txt","TI-383")</f>
        <v>TI-383</v>
      </c>
      <c r="G251" s="6">
        <v>456</v>
      </c>
      <c r="I251" s="6" t="s">
        <v>8</v>
      </c>
      <c r="J251" s="6" t="s">
        <v>8</v>
      </c>
      <c r="K251" s="6">
        <v>1</v>
      </c>
      <c r="L251" s="6">
        <v>0</v>
      </c>
      <c r="M251" s="6">
        <f t="shared" si="4"/>
        <v>1</v>
      </c>
      <c r="N251" s="6" t="s">
        <v>1170</v>
      </c>
      <c r="O251" s="6" t="s">
        <v>1171</v>
      </c>
      <c r="S251" s="6" t="s">
        <v>8</v>
      </c>
      <c r="AJ251" s="6" t="s">
        <v>8</v>
      </c>
      <c r="AX251" s="6" t="s">
        <v>8</v>
      </c>
      <c r="BK251" s="6" t="s">
        <v>8</v>
      </c>
      <c r="CB251" s="6" t="s">
        <v>8</v>
      </c>
      <c r="CE251" s="6" t="s">
        <v>8</v>
      </c>
      <c r="CH251" s="6" t="s">
        <v>8</v>
      </c>
      <c r="CJ251" s="6" t="s">
        <v>8</v>
      </c>
      <c r="CL251" s="6" t="s">
        <v>8</v>
      </c>
      <c r="CN251" s="6" t="s">
        <v>8</v>
      </c>
      <c r="DB251" s="6" t="s">
        <v>8</v>
      </c>
    </row>
    <row r="252" spans="1:119" s="6" customFormat="1">
      <c r="A252" t="str">
        <f>HYPERLINK(".\links\pep\TI-382-pep.txt","TI-382")</f>
        <v>TI-382</v>
      </c>
      <c r="B252">
        <v>382</v>
      </c>
      <c r="C252" t="s">
        <v>7</v>
      </c>
      <c r="D252">
        <v>90</v>
      </c>
      <c r="E252">
        <v>0</v>
      </c>
      <c r="F252" t="str">
        <f>HYPERLINK(".\links\cds\TI-382-cds.txt","TI-382")</f>
        <v>TI-382</v>
      </c>
      <c r="G252">
        <v>273</v>
      </c>
      <c r="H252"/>
      <c r="I252" t="s">
        <v>29</v>
      </c>
      <c r="J252" t="s">
        <v>6</v>
      </c>
      <c r="K252">
        <v>2</v>
      </c>
      <c r="L252">
        <v>0</v>
      </c>
      <c r="M252">
        <f t="shared" si="4"/>
        <v>2</v>
      </c>
      <c r="N252" t="s">
        <v>1325</v>
      </c>
      <c r="O252" t="s">
        <v>1172</v>
      </c>
      <c r="P252" t="str">
        <f>HYPERLINK(".\links\GO\TI-382-GO.txt","GO")</f>
        <v>GO</v>
      </c>
      <c r="Q252" s="3">
        <v>3.0000000000000003E-20</v>
      </c>
      <c r="R252">
        <v>16.2</v>
      </c>
      <c r="S252" t="str">
        <f>HYPERLINK(".\links\NR-LIGHT\TI-382-NR-LIGHT.txt","hypothetical protein TcasGA2_TC000583")</f>
        <v>hypothetical protein TcasGA2_TC000583</v>
      </c>
      <c r="T252" t="str">
        <f>HYPERLINK("http://www.ncbi.nlm.nih.gov/sutils/blink.cgi?pid=270001710","2E-022")</f>
        <v>2E-022</v>
      </c>
      <c r="U252" t="str">
        <f>HYPERLINK("http://www.ncbi.nlm.nih.gov/protein/270001710","gi|270001710")</f>
        <v>gi|270001710</v>
      </c>
      <c r="V252">
        <v>106</v>
      </c>
      <c r="W252">
        <v>89</v>
      </c>
      <c r="X252">
        <v>533</v>
      </c>
      <c r="Y252">
        <v>54</v>
      </c>
      <c r="Z252">
        <v>17</v>
      </c>
      <c r="AA252">
        <v>41</v>
      </c>
      <c r="AB252">
        <v>0</v>
      </c>
      <c r="AC252">
        <v>444</v>
      </c>
      <c r="AD252">
        <v>1</v>
      </c>
      <c r="AE252">
        <v>1</v>
      </c>
      <c r="AF252"/>
      <c r="AG252" t="s">
        <v>13</v>
      </c>
      <c r="AH252" t="s">
        <v>51</v>
      </c>
      <c r="AI252" t="s">
        <v>266</v>
      </c>
      <c r="AJ252" t="str">
        <f>HYPERLINK(".\links\SWISSP\TI-382-SWISSP.txt","B(0,+)-type amino acid transporter 1 OS=Homo sapiens GN=SLC7A9 PE=1 SV=1")</f>
        <v>B(0,+)-type amino acid transporter 1 OS=Homo sapiens GN=SLC7A9 PE=1 SV=1</v>
      </c>
      <c r="AK252" t="str">
        <f>HYPERLINK("http://www.uniprot.org/uniprot/P82251","8E-011")</f>
        <v>8E-011</v>
      </c>
      <c r="AL252" t="s">
        <v>209</v>
      </c>
      <c r="AM252">
        <v>65.900000000000006</v>
      </c>
      <c r="AN252">
        <v>85</v>
      </c>
      <c r="AO252">
        <v>487</v>
      </c>
      <c r="AP252">
        <v>43</v>
      </c>
      <c r="AQ252">
        <v>18</v>
      </c>
      <c r="AR252">
        <v>49</v>
      </c>
      <c r="AS252">
        <v>2</v>
      </c>
      <c r="AT252">
        <v>396</v>
      </c>
      <c r="AU252">
        <v>1</v>
      </c>
      <c r="AV252">
        <v>1</v>
      </c>
      <c r="AW252" t="s">
        <v>68</v>
      </c>
      <c r="AX252" t="str">
        <f>HYPERLINK(".\links\PREV-RHOD-PEP\TI-382-PREV-RHOD-PEP.txt","Contig17851_6")</f>
        <v>Contig17851_6</v>
      </c>
      <c r="AY252" s="3">
        <v>1E-26</v>
      </c>
      <c r="AZ252" t="s">
        <v>1123</v>
      </c>
      <c r="BA252">
        <v>114</v>
      </c>
      <c r="BB252">
        <v>69</v>
      </c>
      <c r="BC252">
        <v>423</v>
      </c>
      <c r="BD252">
        <v>78</v>
      </c>
      <c r="BE252">
        <v>17</v>
      </c>
      <c r="BF252">
        <v>15</v>
      </c>
      <c r="BG252">
        <v>0</v>
      </c>
      <c r="BH252">
        <v>344</v>
      </c>
      <c r="BI252">
        <v>1</v>
      </c>
      <c r="BJ252">
        <v>1</v>
      </c>
      <c r="BK252" t="s">
        <v>847</v>
      </c>
      <c r="BL252">
        <f>HYPERLINK(".\links\GO\TI-382-GO.txt",3E-20)</f>
        <v>3.0000000000000003E-20</v>
      </c>
      <c r="BM252" t="s">
        <v>848</v>
      </c>
      <c r="BN252" t="s">
        <v>319</v>
      </c>
      <c r="BO252" t="s">
        <v>320</v>
      </c>
      <c r="BP252" t="s">
        <v>849</v>
      </c>
      <c r="BQ252">
        <v>1.9999999999999999E-11</v>
      </c>
      <c r="BR252" t="s">
        <v>375</v>
      </c>
      <c r="BS252" t="s">
        <v>375</v>
      </c>
      <c r="BT252"/>
      <c r="BU252" t="s">
        <v>376</v>
      </c>
      <c r="BV252">
        <v>1.9999999999999999E-11</v>
      </c>
      <c r="BW252" t="s">
        <v>409</v>
      </c>
      <c r="BX252" t="s">
        <v>319</v>
      </c>
      <c r="BY252" t="s">
        <v>320</v>
      </c>
      <c r="BZ252" t="s">
        <v>410</v>
      </c>
      <c r="CA252">
        <v>1.9999999999999999E-11</v>
      </c>
      <c r="CB252" t="s">
        <v>8</v>
      </c>
      <c r="CC252"/>
      <c r="CD252"/>
      <c r="CE252" t="s">
        <v>8</v>
      </c>
      <c r="CF252"/>
      <c r="CG252"/>
      <c r="CH252" t="s">
        <v>8</v>
      </c>
      <c r="CI252"/>
      <c r="CJ252" t="s">
        <v>8</v>
      </c>
      <c r="CK252"/>
      <c r="CL252" t="s">
        <v>8</v>
      </c>
      <c r="CM252"/>
      <c r="CN252" t="s">
        <v>8</v>
      </c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 t="s">
        <v>8</v>
      </c>
      <c r="DC252"/>
      <c r="DD252"/>
      <c r="DE252"/>
      <c r="DF252"/>
      <c r="DG252"/>
      <c r="DH252"/>
      <c r="DI252"/>
      <c r="DJ252"/>
      <c r="DK252"/>
      <c r="DL252"/>
      <c r="DM252"/>
      <c r="DN252"/>
      <c r="DO252"/>
    </row>
    <row r="253" spans="1:119" s="6" customFormat="1">
      <c r="A253" s="6" t="str">
        <f>HYPERLINK(".\links\pep\TI-381-pep.txt","TI-381")</f>
        <v>TI-381</v>
      </c>
      <c r="B253" s="6">
        <v>381</v>
      </c>
      <c r="C253" s="6" t="s">
        <v>17</v>
      </c>
      <c r="D253" s="6">
        <v>61</v>
      </c>
      <c r="E253" s="6">
        <v>0</v>
      </c>
      <c r="F253" s="6" t="str">
        <f>HYPERLINK(".\links\cds\TI-381-cds.txt","TI-381")</f>
        <v>TI-381</v>
      </c>
      <c r="G253" s="6">
        <v>186</v>
      </c>
      <c r="I253" s="6" t="s">
        <v>8</v>
      </c>
      <c r="J253" s="6" t="s">
        <v>6</v>
      </c>
      <c r="K253" s="6">
        <v>1</v>
      </c>
      <c r="L253" s="6">
        <v>0</v>
      </c>
      <c r="M253" s="6">
        <f t="shared" si="4"/>
        <v>1</v>
      </c>
      <c r="N253" s="6" t="s">
        <v>1170</v>
      </c>
      <c r="O253" s="6" t="s">
        <v>1171</v>
      </c>
      <c r="S253" s="6" t="str">
        <f>HYPERLINK(".\links\NR-LIGHT\TI-381-NR-LIGHT.txt","chitinase, acidic, isoform CRA_c")</f>
        <v>chitinase, acidic, isoform CRA_c</v>
      </c>
      <c r="T253" s="6" t="str">
        <f>HYPERLINK("http://www.ncbi.nlm.nih.gov/sutils/blink.cgi?pid=148675582","1.6")</f>
        <v>1.6</v>
      </c>
      <c r="U253" s="6" t="str">
        <f>HYPERLINK("http://www.ncbi.nlm.nih.gov/protein/148675582","gi|148675582")</f>
        <v>gi|148675582</v>
      </c>
      <c r="V253" s="6">
        <v>33.9</v>
      </c>
      <c r="W253" s="6">
        <v>25</v>
      </c>
      <c r="X253" s="6">
        <v>413</v>
      </c>
      <c r="Y253" s="6">
        <v>38</v>
      </c>
      <c r="Z253" s="6">
        <v>6</v>
      </c>
      <c r="AA253" s="6">
        <v>16</v>
      </c>
      <c r="AB253" s="6">
        <v>0</v>
      </c>
      <c r="AC253" s="6">
        <v>374</v>
      </c>
      <c r="AD253" s="6">
        <v>35</v>
      </c>
      <c r="AE253" s="6">
        <v>1</v>
      </c>
      <c r="AG253" s="6" t="s">
        <v>13</v>
      </c>
      <c r="AH253" s="6" t="s">
        <v>51</v>
      </c>
      <c r="AI253" s="6" t="s">
        <v>87</v>
      </c>
      <c r="AJ253" s="6" t="s">
        <v>8</v>
      </c>
      <c r="AX253" s="6" t="s">
        <v>8</v>
      </c>
      <c r="BK253" s="6" t="s">
        <v>8</v>
      </c>
      <c r="CB253" s="6" t="s">
        <v>8</v>
      </c>
      <c r="CE253" s="6" t="s">
        <v>8</v>
      </c>
      <c r="CH253" s="6" t="s">
        <v>8</v>
      </c>
      <c r="CJ253" s="6" t="s">
        <v>8</v>
      </c>
      <c r="CL253" s="6" t="s">
        <v>8</v>
      </c>
      <c r="CN253" s="6" t="s">
        <v>8</v>
      </c>
      <c r="DB253" s="6" t="s">
        <v>8</v>
      </c>
    </row>
    <row r="254" spans="1:119" s="6" customFormat="1">
      <c r="A254" s="6" t="str">
        <f>HYPERLINK(".\links\pep\TI-380-pep.txt","TI-380")</f>
        <v>TI-380</v>
      </c>
      <c r="B254" s="6">
        <v>380</v>
      </c>
      <c r="C254" s="6" t="s">
        <v>25</v>
      </c>
      <c r="D254" s="6">
        <v>37</v>
      </c>
      <c r="E254" s="6">
        <v>0</v>
      </c>
      <c r="F254" s="6" t="str">
        <f>HYPERLINK(".\links\cds\TI-380-cds.txt","TI-380")</f>
        <v>TI-380</v>
      </c>
      <c r="G254" s="6">
        <v>114</v>
      </c>
      <c r="I254" s="6" t="s">
        <v>8</v>
      </c>
      <c r="J254" s="6" t="s">
        <v>6</v>
      </c>
      <c r="K254" s="6">
        <v>1</v>
      </c>
      <c r="L254" s="6">
        <v>0</v>
      </c>
      <c r="M254" s="6">
        <f t="shared" si="4"/>
        <v>1</v>
      </c>
      <c r="N254" s="6" t="s">
        <v>1170</v>
      </c>
      <c r="O254" s="6" t="s">
        <v>1171</v>
      </c>
      <c r="S254" s="6" t="s">
        <v>8</v>
      </c>
      <c r="AJ254" s="6" t="s">
        <v>8</v>
      </c>
      <c r="AX254" s="6" t="s">
        <v>8</v>
      </c>
      <c r="BK254" s="6" t="s">
        <v>8</v>
      </c>
      <c r="CB254" s="6" t="s">
        <v>8</v>
      </c>
      <c r="CE254" s="6" t="s">
        <v>8</v>
      </c>
      <c r="CH254" s="6" t="s">
        <v>8</v>
      </c>
      <c r="CJ254" s="6" t="s">
        <v>8</v>
      </c>
      <c r="CL254" s="6" t="s">
        <v>8</v>
      </c>
      <c r="CN254" s="6" t="s">
        <v>8</v>
      </c>
      <c r="DB254" s="6" t="s">
        <v>8</v>
      </c>
    </row>
    <row r="255" spans="1:119" s="6" customFormat="1">
      <c r="A255" s="6" t="str">
        <f>HYPERLINK(".\links\pep\TI-379-pep.txt","TI-379")</f>
        <v>TI-379</v>
      </c>
      <c r="B255" s="6">
        <v>379</v>
      </c>
      <c r="C255" s="6" t="s">
        <v>7</v>
      </c>
      <c r="D255" s="6">
        <v>31</v>
      </c>
      <c r="E255" s="6">
        <v>0</v>
      </c>
      <c r="F255" s="6" t="str">
        <f>HYPERLINK(".\links\cds\TI-379-cds.txt","TI-379")</f>
        <v>TI-379</v>
      </c>
      <c r="G255" s="6">
        <v>96</v>
      </c>
      <c r="I255" s="6" t="s">
        <v>29</v>
      </c>
      <c r="J255" s="6" t="s">
        <v>6</v>
      </c>
      <c r="K255" s="6">
        <v>1</v>
      </c>
      <c r="L255" s="6">
        <v>0</v>
      </c>
      <c r="M255" s="6">
        <f t="shared" si="4"/>
        <v>1</v>
      </c>
      <c r="N255" s="6" t="s">
        <v>1170</v>
      </c>
      <c r="O255" s="6" t="s">
        <v>1171</v>
      </c>
      <c r="S255" s="6" t="s">
        <v>8</v>
      </c>
      <c r="AJ255" s="6" t="s">
        <v>8</v>
      </c>
      <c r="AX255" s="6" t="s">
        <v>8</v>
      </c>
      <c r="BK255" s="6" t="s">
        <v>8</v>
      </c>
      <c r="CB255" s="6" t="s">
        <v>8</v>
      </c>
      <c r="CE255" s="6" t="s">
        <v>8</v>
      </c>
      <c r="CH255" s="6" t="s">
        <v>8</v>
      </c>
      <c r="CJ255" s="6" t="s">
        <v>8</v>
      </c>
      <c r="CL255" s="6" t="s">
        <v>8</v>
      </c>
      <c r="CN255" s="6" t="s">
        <v>8</v>
      </c>
      <c r="DB255" s="6" t="s">
        <v>8</v>
      </c>
    </row>
    <row r="256" spans="1:119" s="6" customFormat="1">
      <c r="A256" s="6" t="str">
        <f>HYPERLINK(".\links\pep\TI-377-pep.txt","TI-377")</f>
        <v>TI-377</v>
      </c>
      <c r="B256" s="6">
        <v>377</v>
      </c>
      <c r="C256" s="6" t="s">
        <v>10</v>
      </c>
      <c r="D256" s="6">
        <v>79</v>
      </c>
      <c r="E256" s="7">
        <v>1.2658229999999999</v>
      </c>
      <c r="F256" s="6" t="str">
        <f>HYPERLINK(".\links\cds\TI-377-cds.txt","TI-377")</f>
        <v>TI-377</v>
      </c>
      <c r="G256" s="6">
        <v>236</v>
      </c>
      <c r="I256" s="6" t="s">
        <v>8</v>
      </c>
      <c r="J256" s="6" t="s">
        <v>6</v>
      </c>
      <c r="K256" s="6">
        <v>1</v>
      </c>
      <c r="L256" s="6">
        <v>0</v>
      </c>
      <c r="M256" s="6">
        <f t="shared" si="4"/>
        <v>1</v>
      </c>
      <c r="N256" s="6" t="s">
        <v>1170</v>
      </c>
      <c r="O256" s="6" t="s">
        <v>1171</v>
      </c>
      <c r="S256" s="6" t="s">
        <v>8</v>
      </c>
      <c r="AJ256" s="6" t="s">
        <v>8</v>
      </c>
      <c r="AX256" s="6" t="s">
        <v>8</v>
      </c>
      <c r="BK256" s="6" t="s">
        <v>8</v>
      </c>
      <c r="CB256" s="6" t="s">
        <v>8</v>
      </c>
      <c r="CE256" s="6" t="s">
        <v>8</v>
      </c>
      <c r="CH256" s="6" t="s">
        <v>8</v>
      </c>
      <c r="CJ256" s="6" t="s">
        <v>8</v>
      </c>
      <c r="CL256" s="6" t="s">
        <v>8</v>
      </c>
      <c r="CN256" s="6" t="s">
        <v>8</v>
      </c>
      <c r="DB256" s="6" t="s">
        <v>8</v>
      </c>
    </row>
    <row r="257" spans="1:119" s="6" customFormat="1">
      <c r="A257" s="6" t="str">
        <f>HYPERLINK(".\links\pep\TI-37-pep.txt","TI-37")</f>
        <v>TI-37</v>
      </c>
      <c r="B257" s="6">
        <v>37</v>
      </c>
      <c r="C257" s="6" t="s">
        <v>20</v>
      </c>
      <c r="D257" s="6">
        <v>12</v>
      </c>
      <c r="E257" s="6">
        <v>0</v>
      </c>
      <c r="F257" s="6" t="str">
        <f>HYPERLINK(".\links\cds\TI-37-cds.txt","TI-37")</f>
        <v>TI-37</v>
      </c>
      <c r="G257" s="6">
        <v>39</v>
      </c>
      <c r="I257" s="6" t="s">
        <v>8</v>
      </c>
      <c r="J257" s="6" t="s">
        <v>6</v>
      </c>
      <c r="K257" s="6">
        <v>1</v>
      </c>
      <c r="L257" s="6">
        <v>0</v>
      </c>
      <c r="M257" s="6">
        <f t="shared" si="4"/>
        <v>1</v>
      </c>
      <c r="N257" s="6" t="s">
        <v>1170</v>
      </c>
      <c r="O257" s="6" t="s">
        <v>1171</v>
      </c>
      <c r="S257" s="6" t="s">
        <v>8</v>
      </c>
      <c r="AJ257" s="6" t="s">
        <v>8</v>
      </c>
      <c r="AX257" s="6" t="s">
        <v>8</v>
      </c>
      <c r="BK257" s="6" t="s">
        <v>8</v>
      </c>
      <c r="CB257" s="6" t="s">
        <v>8</v>
      </c>
      <c r="CE257" s="6" t="s">
        <v>8</v>
      </c>
      <c r="CH257" s="6" t="s">
        <v>8</v>
      </c>
      <c r="CJ257" s="6" t="s">
        <v>8</v>
      </c>
      <c r="CL257" s="6" t="s">
        <v>8</v>
      </c>
      <c r="CN257" s="6" t="s">
        <v>8</v>
      </c>
      <c r="DB257" s="6" t="s">
        <v>8</v>
      </c>
    </row>
    <row r="258" spans="1:119" s="6" customFormat="1">
      <c r="A258" s="6" t="str">
        <f>HYPERLINK(".\links\pep\TI-369-pep.txt","TI-369")</f>
        <v>TI-369</v>
      </c>
      <c r="B258" s="6">
        <v>369</v>
      </c>
      <c r="C258" s="6" t="s">
        <v>10</v>
      </c>
      <c r="D258" s="6">
        <v>16</v>
      </c>
      <c r="E258" s="6">
        <v>0</v>
      </c>
      <c r="F258" s="6" t="str">
        <f>HYPERLINK(".\links\cds\TI-369-cds.txt","TI-369")</f>
        <v>TI-369</v>
      </c>
      <c r="G258" s="6">
        <v>51</v>
      </c>
      <c r="I258" s="6" t="s">
        <v>8</v>
      </c>
      <c r="J258" s="6" t="s">
        <v>6</v>
      </c>
      <c r="K258" s="6">
        <v>1</v>
      </c>
      <c r="L258" s="6">
        <v>0</v>
      </c>
      <c r="M258" s="6">
        <f t="shared" si="4"/>
        <v>1</v>
      </c>
      <c r="N258" s="6" t="s">
        <v>1170</v>
      </c>
      <c r="O258" s="6" t="s">
        <v>1171</v>
      </c>
      <c r="S258" s="6" t="s">
        <v>8</v>
      </c>
      <c r="AJ258" s="6" t="s">
        <v>8</v>
      </c>
      <c r="AX258" s="6" t="s">
        <v>8</v>
      </c>
      <c r="BK258" s="6" t="s">
        <v>8</v>
      </c>
      <c r="CB258" s="6" t="s">
        <v>8</v>
      </c>
      <c r="CE258" s="6" t="s">
        <v>8</v>
      </c>
      <c r="CH258" s="6" t="s">
        <v>8</v>
      </c>
      <c r="CJ258" s="6" t="s">
        <v>8</v>
      </c>
      <c r="CL258" s="6" t="s">
        <v>8</v>
      </c>
      <c r="CN258" s="6" t="s">
        <v>8</v>
      </c>
      <c r="DB258" s="6" t="s">
        <v>8</v>
      </c>
    </row>
    <row r="259" spans="1:119" s="6" customFormat="1">
      <c r="A259" t="str">
        <f>HYPERLINK(".\links\pep\TI-367-pep.txt","TI-367")</f>
        <v>TI-367</v>
      </c>
      <c r="B259">
        <v>367</v>
      </c>
      <c r="C259" t="s">
        <v>15</v>
      </c>
      <c r="D259">
        <v>167</v>
      </c>
      <c r="E259">
        <v>0</v>
      </c>
      <c r="F259" t="str">
        <f>HYPERLINK(".\links\cds\TI-367-cds.txt","TI-367")</f>
        <v>TI-367</v>
      </c>
      <c r="G259">
        <v>504</v>
      </c>
      <c r="H259"/>
      <c r="I259" t="s">
        <v>8</v>
      </c>
      <c r="J259" t="s">
        <v>6</v>
      </c>
      <c r="K259">
        <v>1</v>
      </c>
      <c r="L259">
        <v>0</v>
      </c>
      <c r="M259">
        <f t="shared" si="4"/>
        <v>1</v>
      </c>
      <c r="N259" t="s">
        <v>1226</v>
      </c>
      <c r="O259" t="s">
        <v>1178</v>
      </c>
      <c r="P259" t="str">
        <f>HYPERLINK(".\links\NR-LIGHT\TI-367-NR-LIGHT.txt","NR-LIGHT")</f>
        <v>NR-LIGHT</v>
      </c>
      <c r="Q259">
        <v>7.0000000000000001E-15</v>
      </c>
      <c r="R259">
        <v>17.5</v>
      </c>
      <c r="S259" t="str">
        <f>HYPERLINK(".\links\NR-LIGHT\TI-367-NR-LIGHT.txt","Amphoterin-induced protein 2 precursor, putative")</f>
        <v>Amphoterin-induced protein 2 precursor, putative</v>
      </c>
      <c r="T259" t="str">
        <f>HYPERLINK("http://www.ncbi.nlm.nih.gov/sutils/blink.cgi?pid=242008917","7E-015")</f>
        <v>7E-015</v>
      </c>
      <c r="U259" t="str">
        <f>HYPERLINK("http://www.ncbi.nlm.nih.gov/protein/242008917","gi|242008917")</f>
        <v>gi|242008917</v>
      </c>
      <c r="V259">
        <v>82</v>
      </c>
      <c r="W259">
        <v>111</v>
      </c>
      <c r="X259">
        <v>648</v>
      </c>
      <c r="Y259">
        <v>48</v>
      </c>
      <c r="Z259">
        <v>17</v>
      </c>
      <c r="AA259">
        <v>59</v>
      </c>
      <c r="AB259">
        <v>28</v>
      </c>
      <c r="AC259">
        <v>508</v>
      </c>
      <c r="AD259">
        <v>22</v>
      </c>
      <c r="AE259">
        <v>1</v>
      </c>
      <c r="AF259"/>
      <c r="AG259" t="s">
        <v>13</v>
      </c>
      <c r="AH259" t="s">
        <v>51</v>
      </c>
      <c r="AI259" t="s">
        <v>268</v>
      </c>
      <c r="AJ259" t="s">
        <v>8</v>
      </c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 t="s">
        <v>8</v>
      </c>
      <c r="AY259"/>
      <c r="AZ259"/>
      <c r="BA259"/>
      <c r="BB259"/>
      <c r="BC259"/>
      <c r="BD259"/>
      <c r="BE259"/>
      <c r="BF259"/>
      <c r="BG259"/>
      <c r="BH259"/>
      <c r="BI259"/>
      <c r="BJ259"/>
      <c r="BK259" t="s">
        <v>8</v>
      </c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 t="s">
        <v>8</v>
      </c>
      <c r="CC259"/>
      <c r="CD259"/>
      <c r="CE259" t="s">
        <v>8</v>
      </c>
      <c r="CF259"/>
      <c r="CG259"/>
      <c r="CH259" t="s">
        <v>8</v>
      </c>
      <c r="CI259"/>
      <c r="CJ259" t="s">
        <v>8</v>
      </c>
      <c r="CK259"/>
      <c r="CL259" t="s">
        <v>8</v>
      </c>
      <c r="CM259"/>
      <c r="CN259" t="s">
        <v>8</v>
      </c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 t="s">
        <v>8</v>
      </c>
      <c r="DC259"/>
      <c r="DD259"/>
      <c r="DE259"/>
      <c r="DF259"/>
      <c r="DG259"/>
      <c r="DH259"/>
      <c r="DI259"/>
      <c r="DJ259"/>
      <c r="DK259"/>
      <c r="DL259"/>
      <c r="DM259"/>
      <c r="DN259"/>
      <c r="DO259"/>
    </row>
    <row r="260" spans="1:119" s="6" customFormat="1">
      <c r="A260" s="6" t="str">
        <f>HYPERLINK(".\links\pep\TI-365-pep.txt","TI-365")</f>
        <v>TI-365</v>
      </c>
      <c r="B260" s="6">
        <v>365</v>
      </c>
      <c r="C260" s="6" t="s">
        <v>23</v>
      </c>
      <c r="D260" s="6">
        <v>85</v>
      </c>
      <c r="E260" s="6">
        <v>0</v>
      </c>
      <c r="F260" s="6" t="str">
        <f>HYPERLINK(".\links\cds\TI-365-cds.txt","TI-365")</f>
        <v>TI-365</v>
      </c>
      <c r="G260" s="6">
        <v>258</v>
      </c>
      <c r="I260" s="6" t="s">
        <v>8</v>
      </c>
      <c r="J260" s="6" t="s">
        <v>6</v>
      </c>
      <c r="K260" s="6">
        <v>1</v>
      </c>
      <c r="L260" s="6">
        <v>0</v>
      </c>
      <c r="M260" s="6">
        <f t="shared" si="4"/>
        <v>1</v>
      </c>
      <c r="N260" s="6" t="s">
        <v>1170</v>
      </c>
      <c r="O260" s="6" t="s">
        <v>1171</v>
      </c>
      <c r="S260" s="6" t="str">
        <f>HYPERLINK(".\links\NR-LIGHT\TI-365-NR-LIGHT.txt","hypothetical protein Bm1_51770")</f>
        <v>hypothetical protein Bm1_51770</v>
      </c>
      <c r="T260" s="6" t="str">
        <f>HYPERLINK("http://www.ncbi.nlm.nih.gov/sutils/blink.cgi?pid=170594141","4.9")</f>
        <v>4.9</v>
      </c>
      <c r="U260" s="6" t="str">
        <f>HYPERLINK("http://www.ncbi.nlm.nih.gov/protein/170594141","gi|170594141")</f>
        <v>gi|170594141</v>
      </c>
      <c r="V260" s="6">
        <v>32.299999999999997</v>
      </c>
      <c r="W260" s="6">
        <v>67</v>
      </c>
      <c r="X260" s="6">
        <v>87</v>
      </c>
      <c r="Y260" s="6">
        <v>30</v>
      </c>
      <c r="Z260" s="6">
        <v>78</v>
      </c>
      <c r="AA260" s="6">
        <v>47</v>
      </c>
      <c r="AB260" s="6">
        <v>5</v>
      </c>
      <c r="AC260" s="6">
        <v>12</v>
      </c>
      <c r="AD260" s="6">
        <v>3</v>
      </c>
      <c r="AE260" s="6">
        <v>1</v>
      </c>
      <c r="AG260" s="6" t="s">
        <v>13</v>
      </c>
      <c r="AH260" s="6" t="s">
        <v>51</v>
      </c>
      <c r="AI260" s="6" t="s">
        <v>284</v>
      </c>
      <c r="AJ260" s="6" t="s">
        <v>8</v>
      </c>
      <c r="AX260" s="6" t="s">
        <v>8</v>
      </c>
      <c r="BK260" s="6" t="s">
        <v>8</v>
      </c>
      <c r="CB260" s="6" t="s">
        <v>8</v>
      </c>
      <c r="CE260" s="6" t="s">
        <v>8</v>
      </c>
      <c r="CH260" s="6" t="s">
        <v>8</v>
      </c>
      <c r="CJ260" s="6" t="s">
        <v>8</v>
      </c>
      <c r="CL260" s="6" t="s">
        <v>8</v>
      </c>
      <c r="CN260" s="6" t="s">
        <v>8</v>
      </c>
      <c r="DB260" s="6" t="s">
        <v>8</v>
      </c>
    </row>
    <row r="261" spans="1:119" s="6" customFormat="1">
      <c r="A261" t="str">
        <f>HYPERLINK(".\links\pep\TI-360-pep.txt","TI-360")</f>
        <v>TI-360</v>
      </c>
      <c r="B261">
        <v>360</v>
      </c>
      <c r="C261" t="s">
        <v>7</v>
      </c>
      <c r="D261">
        <v>124</v>
      </c>
      <c r="E261">
        <v>0</v>
      </c>
      <c r="F261" t="str">
        <f>HYPERLINK(".\links\cds\TI-360-cds.txt","TI-360")</f>
        <v>TI-360</v>
      </c>
      <c r="G261">
        <v>375</v>
      </c>
      <c r="H261"/>
      <c r="I261" t="s">
        <v>29</v>
      </c>
      <c r="J261" t="s">
        <v>6</v>
      </c>
      <c r="K261">
        <v>2</v>
      </c>
      <c r="L261">
        <v>0</v>
      </c>
      <c r="M261">
        <f t="shared" si="4"/>
        <v>2</v>
      </c>
      <c r="N261" t="s">
        <v>1225</v>
      </c>
      <c r="O261" t="s">
        <v>1186</v>
      </c>
      <c r="P261" t="str">
        <f>HYPERLINK(".\links\GO\TI-360-GO.txt","GO")</f>
        <v>GO</v>
      </c>
      <c r="Q261" s="3">
        <v>2.0000000000000001E-53</v>
      </c>
      <c r="R261">
        <v>92.9</v>
      </c>
      <c r="S261" t="str">
        <f>HYPERLINK(".\links\NR-LIGHT\TI-360-NR-LIGHT.txt","similar to CG5738-PA")</f>
        <v>similar to CG5738-PA</v>
      </c>
      <c r="T261" t="str">
        <f>HYPERLINK("http://www.ncbi.nlm.nih.gov/sutils/blink.cgi?pid=156550568","5E-056")</f>
        <v>5E-056</v>
      </c>
      <c r="U261" t="str">
        <f>HYPERLINK("http://www.ncbi.nlm.nih.gov/protein/156550568","gi|156550568")</f>
        <v>gi|156550568</v>
      </c>
      <c r="V261">
        <v>218</v>
      </c>
      <c r="W261">
        <v>117</v>
      </c>
      <c r="X261">
        <v>127</v>
      </c>
      <c r="Y261">
        <v>86</v>
      </c>
      <c r="Z261">
        <v>93</v>
      </c>
      <c r="AA261">
        <v>16</v>
      </c>
      <c r="AB261">
        <v>0</v>
      </c>
      <c r="AC261">
        <v>1</v>
      </c>
      <c r="AD261">
        <v>1</v>
      </c>
      <c r="AE261">
        <v>1</v>
      </c>
      <c r="AF261"/>
      <c r="AG261" t="s">
        <v>13</v>
      </c>
      <c r="AH261" t="s">
        <v>51</v>
      </c>
      <c r="AI261" t="s">
        <v>294</v>
      </c>
      <c r="AJ261" t="str">
        <f>HYPERLINK(".\links\SWISSP\TI-360-SWISSP.txt","Longitudinals lacking protein-like OS=Drosophila melanogaster GN=lolal PE=1 SV=1")</f>
        <v>Longitudinals lacking protein-like OS=Drosophila melanogaster GN=lolal PE=1 SV=1</v>
      </c>
      <c r="AK261" t="str">
        <f>HYPERLINK("http://www.uniprot.org/uniprot/Q7KRI2","8E-053")</f>
        <v>8E-053</v>
      </c>
      <c r="AL261" t="s">
        <v>206</v>
      </c>
      <c r="AM261">
        <v>205</v>
      </c>
      <c r="AN261">
        <v>117</v>
      </c>
      <c r="AO261">
        <v>127</v>
      </c>
      <c r="AP261">
        <v>81</v>
      </c>
      <c r="AQ261">
        <v>93</v>
      </c>
      <c r="AR261">
        <v>22</v>
      </c>
      <c r="AS261">
        <v>0</v>
      </c>
      <c r="AT261">
        <v>1</v>
      </c>
      <c r="AU261">
        <v>1</v>
      </c>
      <c r="AV261">
        <v>1</v>
      </c>
      <c r="AW261" t="s">
        <v>52</v>
      </c>
      <c r="AX261" t="str">
        <f>HYPERLINK(".\links\PREV-RHOD-PEP\TI-360-PREV-RHOD-PEP.txt","Contig17830_41")</f>
        <v>Contig17830_41</v>
      </c>
      <c r="AY261" s="3">
        <v>1.9999999999999999E-69</v>
      </c>
      <c r="AZ261" t="s">
        <v>1121</v>
      </c>
      <c r="BA261">
        <v>256</v>
      </c>
      <c r="BB261">
        <v>123</v>
      </c>
      <c r="BC261">
        <v>124</v>
      </c>
      <c r="BD261">
        <v>99</v>
      </c>
      <c r="BE261">
        <v>100</v>
      </c>
      <c r="BF261">
        <v>1</v>
      </c>
      <c r="BG261">
        <v>0</v>
      </c>
      <c r="BH261">
        <v>1</v>
      </c>
      <c r="BI261">
        <v>1</v>
      </c>
      <c r="BJ261">
        <v>1</v>
      </c>
      <c r="BK261" t="s">
        <v>834</v>
      </c>
      <c r="BL261">
        <f>HYPERLINK(".\links\GO\TI-360-GO.txt",2E-53)</f>
        <v>2.0000000000000001E-53</v>
      </c>
      <c r="BM261" t="s">
        <v>835</v>
      </c>
      <c r="BN261" t="s">
        <v>683</v>
      </c>
      <c r="BO261" t="s">
        <v>836</v>
      </c>
      <c r="BP261" t="s">
        <v>837</v>
      </c>
      <c r="BQ261" s="3">
        <v>2.0000000000000001E-53</v>
      </c>
      <c r="BR261" t="s">
        <v>447</v>
      </c>
      <c r="BS261" t="s">
        <v>323</v>
      </c>
      <c r="BT261" t="s">
        <v>334</v>
      </c>
      <c r="BU261" t="s">
        <v>448</v>
      </c>
      <c r="BV261" s="3">
        <v>2.0000000000000001E-53</v>
      </c>
      <c r="BW261" t="s">
        <v>838</v>
      </c>
      <c r="BX261" t="s">
        <v>683</v>
      </c>
      <c r="BY261" t="s">
        <v>836</v>
      </c>
      <c r="BZ261" t="s">
        <v>839</v>
      </c>
      <c r="CA261" s="3">
        <v>2.0000000000000001E-53</v>
      </c>
      <c r="CB261" t="s">
        <v>8</v>
      </c>
      <c r="CC261"/>
      <c r="CD261"/>
      <c r="CE261" t="s">
        <v>8</v>
      </c>
      <c r="CF261"/>
      <c r="CG261"/>
      <c r="CH261" t="s">
        <v>8</v>
      </c>
      <c r="CI261"/>
      <c r="CJ261" t="s">
        <v>8</v>
      </c>
      <c r="CK261"/>
      <c r="CL261" t="s">
        <v>8</v>
      </c>
      <c r="CM261"/>
      <c r="CN261" t="s">
        <v>8</v>
      </c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 t="s">
        <v>8</v>
      </c>
      <c r="DC261"/>
      <c r="DD261"/>
      <c r="DE261"/>
      <c r="DF261"/>
      <c r="DG261"/>
      <c r="DH261"/>
      <c r="DI261"/>
      <c r="DJ261"/>
      <c r="DK261"/>
      <c r="DL261"/>
      <c r="DM261"/>
      <c r="DN261"/>
      <c r="DO261"/>
    </row>
    <row r="262" spans="1:119" s="6" customFormat="1">
      <c r="A262" t="str">
        <f>HYPERLINK(".\links\pep\TI-358-pep.txt","TI-358")</f>
        <v>TI-358</v>
      </c>
      <c r="B262">
        <v>358</v>
      </c>
      <c r="C262" t="s">
        <v>7</v>
      </c>
      <c r="D262">
        <v>177</v>
      </c>
      <c r="E262">
        <v>0</v>
      </c>
      <c r="F262" t="str">
        <f>HYPERLINK(".\links\cds\TI-358-cds.txt","TI-358")</f>
        <v>TI-358</v>
      </c>
      <c r="G262">
        <v>528</v>
      </c>
      <c r="H262"/>
      <c r="I262" t="s">
        <v>29</v>
      </c>
      <c r="J262" t="s">
        <v>8</v>
      </c>
      <c r="K262">
        <v>1</v>
      </c>
      <c r="L262">
        <v>0</v>
      </c>
      <c r="M262">
        <f t="shared" si="4"/>
        <v>1</v>
      </c>
      <c r="N262" t="s">
        <v>1324</v>
      </c>
      <c r="O262" t="s">
        <v>1178</v>
      </c>
      <c r="P262" t="str">
        <f>HYPERLINK(".\links\NR-LIGHT\TI-358-NR-LIGHT.txt","NR-LIGHT")</f>
        <v>NR-LIGHT</v>
      </c>
      <c r="Q262" s="3">
        <v>4.9999999999999998E-95</v>
      </c>
      <c r="R262">
        <v>76.599999999999994</v>
      </c>
      <c r="S262" t="str">
        <f>HYPERLINK(".\links\NR-LIGHT\TI-358-NR-LIGHT.txt","Ras-related small GTPase")</f>
        <v>Ras-related small GTPase</v>
      </c>
      <c r="T262" t="str">
        <f>HYPERLINK("http://www.ncbi.nlm.nih.gov/sutils/blink.cgi?pid=149898836","5E-095")</f>
        <v>5E-095</v>
      </c>
      <c r="U262" t="str">
        <f>HYPERLINK("http://www.ncbi.nlm.nih.gov/protein/149898836","gi|149898836")</f>
        <v>gi|149898836</v>
      </c>
      <c r="V262">
        <v>348</v>
      </c>
      <c r="W262">
        <v>166</v>
      </c>
      <c r="X262">
        <v>218</v>
      </c>
      <c r="Y262">
        <v>99</v>
      </c>
      <c r="Z262">
        <v>77</v>
      </c>
      <c r="AA262">
        <v>1</v>
      </c>
      <c r="AB262">
        <v>0</v>
      </c>
      <c r="AC262">
        <v>1</v>
      </c>
      <c r="AD262">
        <v>11</v>
      </c>
      <c r="AE262">
        <v>1</v>
      </c>
      <c r="AF262"/>
      <c r="AG262" t="s">
        <v>13</v>
      </c>
      <c r="AH262" t="s">
        <v>51</v>
      </c>
      <c r="AI262" t="s">
        <v>273</v>
      </c>
      <c r="AJ262" t="str">
        <f>HYPERLINK(".\links\SWISSP\TI-358-SWISSP.txt","Ras-related protein Rab-21 OS=Canis familiaris GN=RAB21 PE=3 SV=3")</f>
        <v>Ras-related protein Rab-21 OS=Canis familiaris GN=RAB21 PE=3 SV=3</v>
      </c>
      <c r="AK262" t="str">
        <f>HYPERLINK("http://www.uniprot.org/uniprot/P55745","4E-074")</f>
        <v>4E-074</v>
      </c>
      <c r="AL262" t="s">
        <v>204</v>
      </c>
      <c r="AM262">
        <v>276</v>
      </c>
      <c r="AN262">
        <v>154</v>
      </c>
      <c r="AO262">
        <v>223</v>
      </c>
      <c r="AP262">
        <v>81</v>
      </c>
      <c r="AQ262">
        <v>70</v>
      </c>
      <c r="AR262">
        <v>28</v>
      </c>
      <c r="AS262">
        <v>0</v>
      </c>
      <c r="AT262">
        <v>16</v>
      </c>
      <c r="AU262">
        <v>23</v>
      </c>
      <c r="AV262">
        <v>1</v>
      </c>
      <c r="AW262" t="s">
        <v>205</v>
      </c>
      <c r="AX262" t="str">
        <f>HYPERLINK(".\links\PREV-RHOD-PEP\TI-358-PREV-RHOD-PEP.txt","Contig17936_8")</f>
        <v>Contig17936_8</v>
      </c>
      <c r="AY262" s="3">
        <v>1.9999999999999999E-94</v>
      </c>
      <c r="AZ262" t="s">
        <v>1120</v>
      </c>
      <c r="BA262">
        <v>340</v>
      </c>
      <c r="BB262">
        <v>166</v>
      </c>
      <c r="BC262">
        <v>218</v>
      </c>
      <c r="BD262">
        <v>97</v>
      </c>
      <c r="BE262">
        <v>77</v>
      </c>
      <c r="BF262">
        <v>5</v>
      </c>
      <c r="BG262">
        <v>0</v>
      </c>
      <c r="BH262">
        <v>1</v>
      </c>
      <c r="BI262">
        <v>11</v>
      </c>
      <c r="BJ262">
        <v>1</v>
      </c>
      <c r="BK262" t="s">
        <v>829</v>
      </c>
      <c r="BL262">
        <f>HYPERLINK(".\links\GO\TI-358-GO.txt",1E-74)</f>
        <v>9.9999999999999996E-75</v>
      </c>
      <c r="BM262" t="s">
        <v>339</v>
      </c>
      <c r="BN262" t="s">
        <v>340</v>
      </c>
      <c r="BO262" t="s">
        <v>341</v>
      </c>
      <c r="BP262" t="s">
        <v>342</v>
      </c>
      <c r="BQ262" s="3">
        <v>4.0000000000000001E-59</v>
      </c>
      <c r="BR262" t="s">
        <v>830</v>
      </c>
      <c r="BS262" t="s">
        <v>323</v>
      </c>
      <c r="BT262" t="s">
        <v>334</v>
      </c>
      <c r="BU262" t="s">
        <v>831</v>
      </c>
      <c r="BV262" s="3">
        <v>4.0000000000000001E-59</v>
      </c>
      <c r="BW262" t="s">
        <v>832</v>
      </c>
      <c r="BX262" t="s">
        <v>340</v>
      </c>
      <c r="BY262" t="s">
        <v>341</v>
      </c>
      <c r="BZ262" t="s">
        <v>833</v>
      </c>
      <c r="CA262" s="3">
        <v>4.0000000000000001E-59</v>
      </c>
      <c r="CB262" t="s">
        <v>8</v>
      </c>
      <c r="CC262"/>
      <c r="CD262"/>
      <c r="CE262" t="s">
        <v>8</v>
      </c>
      <c r="CF262"/>
      <c r="CG262"/>
      <c r="CH262" t="s">
        <v>8</v>
      </c>
      <c r="CI262"/>
      <c r="CJ262" t="s">
        <v>8</v>
      </c>
      <c r="CK262"/>
      <c r="CL262" t="s">
        <v>8</v>
      </c>
      <c r="CM262"/>
      <c r="CN262" t="s">
        <v>8</v>
      </c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 t="s">
        <v>8</v>
      </c>
      <c r="DC262"/>
      <c r="DD262"/>
      <c r="DE262"/>
      <c r="DF262"/>
      <c r="DG262"/>
      <c r="DH262"/>
      <c r="DI262"/>
      <c r="DJ262"/>
      <c r="DK262"/>
      <c r="DL262"/>
      <c r="DM262"/>
      <c r="DN262"/>
      <c r="DO262"/>
    </row>
    <row r="263" spans="1:119" s="6" customFormat="1">
      <c r="A263" s="6" t="str">
        <f>HYPERLINK(".\links\pep\TI-357-pep.txt","TI-357")</f>
        <v>TI-357</v>
      </c>
      <c r="B263" s="6">
        <v>357</v>
      </c>
      <c r="C263" s="6" t="s">
        <v>7</v>
      </c>
      <c r="D263" s="6">
        <v>51</v>
      </c>
      <c r="E263" s="6">
        <v>0</v>
      </c>
      <c r="F263" s="6" t="str">
        <f>HYPERLINK(".\links\cds\TI-357-cds.txt","TI-357")</f>
        <v>TI-357</v>
      </c>
      <c r="G263" s="6">
        <v>156</v>
      </c>
      <c r="I263" s="6" t="s">
        <v>29</v>
      </c>
      <c r="J263" s="6" t="s">
        <v>6</v>
      </c>
      <c r="K263" s="6">
        <v>1</v>
      </c>
      <c r="L263" s="6">
        <v>0</v>
      </c>
      <c r="M263" s="6">
        <f t="shared" si="4"/>
        <v>1</v>
      </c>
      <c r="N263" s="6" t="s">
        <v>1170</v>
      </c>
      <c r="O263" s="6" t="s">
        <v>1171</v>
      </c>
      <c r="S263" s="6" t="s">
        <v>8</v>
      </c>
      <c r="AJ263" s="6" t="s">
        <v>8</v>
      </c>
      <c r="AX263" s="6" t="s">
        <v>8</v>
      </c>
      <c r="BK263" s="6" t="s">
        <v>8</v>
      </c>
      <c r="CB263" s="6" t="s">
        <v>8</v>
      </c>
      <c r="CE263" s="6" t="s">
        <v>8</v>
      </c>
      <c r="CH263" s="6" t="s">
        <v>8</v>
      </c>
      <c r="CJ263" s="6" t="s">
        <v>8</v>
      </c>
      <c r="CL263" s="6" t="s">
        <v>8</v>
      </c>
      <c r="CN263" s="6" t="s">
        <v>8</v>
      </c>
      <c r="DB263" s="6" t="s">
        <v>8</v>
      </c>
    </row>
    <row r="264" spans="1:119" s="6" customFormat="1">
      <c r="A264" s="6" t="str">
        <f>HYPERLINK(".\links\pep\TI-353-pep.txt","TI-353")</f>
        <v>TI-353</v>
      </c>
      <c r="B264" s="6">
        <v>353</v>
      </c>
      <c r="C264" s="6" t="s">
        <v>12</v>
      </c>
      <c r="D264" s="6">
        <v>44</v>
      </c>
      <c r="E264" s="6">
        <v>0</v>
      </c>
      <c r="F264" s="6" t="str">
        <f>HYPERLINK(".\links\cds\TI-353-cds.txt","TI-353")</f>
        <v>TI-353</v>
      </c>
      <c r="G264" s="6">
        <v>135</v>
      </c>
      <c r="I264" s="6" t="s">
        <v>8</v>
      </c>
      <c r="J264" s="6" t="s">
        <v>6</v>
      </c>
      <c r="K264" s="6">
        <v>1</v>
      </c>
      <c r="L264" s="6">
        <v>0</v>
      </c>
      <c r="M264" s="6">
        <f t="shared" si="4"/>
        <v>1</v>
      </c>
      <c r="N264" s="6" t="s">
        <v>1170</v>
      </c>
      <c r="O264" s="6" t="s">
        <v>1171</v>
      </c>
      <c r="S264" s="6" t="s">
        <v>8</v>
      </c>
      <c r="AJ264" s="6" t="s">
        <v>8</v>
      </c>
      <c r="AX264" s="6" t="s">
        <v>8</v>
      </c>
      <c r="BK264" s="6" t="s">
        <v>8</v>
      </c>
      <c r="CB264" s="6" t="s">
        <v>8</v>
      </c>
      <c r="CE264" s="6" t="s">
        <v>8</v>
      </c>
      <c r="CH264" s="6" t="s">
        <v>8</v>
      </c>
      <c r="CJ264" s="6" t="s">
        <v>8</v>
      </c>
      <c r="CL264" s="6" t="s">
        <v>8</v>
      </c>
      <c r="CN264" s="6" t="s">
        <v>8</v>
      </c>
      <c r="DB264" s="6" t="s">
        <v>8</v>
      </c>
    </row>
    <row r="265" spans="1:119" s="6" customFormat="1">
      <c r="A265" s="6" t="str">
        <f>HYPERLINK(".\links\pep\TI-35-pep.txt","TI-35")</f>
        <v>TI-35</v>
      </c>
      <c r="B265" s="6">
        <v>35</v>
      </c>
      <c r="C265" s="6" t="s">
        <v>25</v>
      </c>
      <c r="D265" s="6">
        <v>22</v>
      </c>
      <c r="E265" s="6">
        <v>0</v>
      </c>
      <c r="F265" s="6" t="str">
        <f>HYPERLINK(".\links\cds\TI-35-cds.txt","TI-35")</f>
        <v>TI-35</v>
      </c>
      <c r="G265" s="6">
        <v>69</v>
      </c>
      <c r="I265" s="6" t="s">
        <v>8</v>
      </c>
      <c r="J265" s="6" t="s">
        <v>6</v>
      </c>
      <c r="K265" s="6">
        <v>1</v>
      </c>
      <c r="L265" s="6">
        <v>0</v>
      </c>
      <c r="M265" s="6">
        <f t="shared" ref="M265:M315" si="5">ABS(K265-L265)</f>
        <v>1</v>
      </c>
      <c r="N265" s="6" t="s">
        <v>1170</v>
      </c>
      <c r="O265" s="6" t="s">
        <v>1171</v>
      </c>
      <c r="S265" s="6" t="s">
        <v>8</v>
      </c>
      <c r="AJ265" s="6" t="s">
        <v>8</v>
      </c>
      <c r="AX265" s="6" t="s">
        <v>8</v>
      </c>
      <c r="BK265" s="6" t="s">
        <v>8</v>
      </c>
      <c r="CB265" s="6" t="s">
        <v>8</v>
      </c>
      <c r="CE265" s="6" t="s">
        <v>8</v>
      </c>
      <c r="CH265" s="6" t="s">
        <v>8</v>
      </c>
      <c r="CJ265" s="6" t="s">
        <v>8</v>
      </c>
      <c r="CL265" s="6" t="s">
        <v>8</v>
      </c>
      <c r="CN265" s="6" t="s">
        <v>8</v>
      </c>
      <c r="DB265" s="6" t="s">
        <v>8</v>
      </c>
    </row>
    <row r="266" spans="1:119" s="6" customFormat="1">
      <c r="A266" s="6" t="str">
        <f>HYPERLINK(".\links\pep\TI-347-pep.txt","TI-347")</f>
        <v>TI-347</v>
      </c>
      <c r="B266" s="6">
        <v>347</v>
      </c>
      <c r="C266" s="6" t="s">
        <v>27</v>
      </c>
      <c r="D266" s="6">
        <v>36</v>
      </c>
      <c r="E266" s="6">
        <v>0</v>
      </c>
      <c r="F266" s="6" t="str">
        <f>HYPERLINK(".\links\cds\TI-347-cds.txt","TI-347")</f>
        <v>TI-347</v>
      </c>
      <c r="G266" s="6">
        <v>111</v>
      </c>
      <c r="I266" s="6" t="s">
        <v>8</v>
      </c>
      <c r="J266" s="6" t="s">
        <v>6</v>
      </c>
      <c r="K266" s="6">
        <v>1</v>
      </c>
      <c r="L266" s="6">
        <v>0</v>
      </c>
      <c r="M266" s="6">
        <f t="shared" si="5"/>
        <v>1</v>
      </c>
      <c r="N266" s="6" t="s">
        <v>1170</v>
      </c>
      <c r="O266" s="6" t="s">
        <v>1171</v>
      </c>
      <c r="S266" s="6" t="s">
        <v>8</v>
      </c>
      <c r="AJ266" s="6" t="s">
        <v>8</v>
      </c>
      <c r="AX266" s="6" t="s">
        <v>8</v>
      </c>
      <c r="BK266" s="6" t="s">
        <v>8</v>
      </c>
      <c r="CB266" s="6" t="s">
        <v>8</v>
      </c>
      <c r="CE266" s="6" t="s">
        <v>8</v>
      </c>
      <c r="CH266" s="6" t="s">
        <v>8</v>
      </c>
      <c r="CJ266" s="6" t="s">
        <v>8</v>
      </c>
      <c r="CL266" s="6" t="s">
        <v>8</v>
      </c>
      <c r="CN266" s="6" t="s">
        <v>8</v>
      </c>
      <c r="DB266" s="6" t="s">
        <v>8</v>
      </c>
    </row>
    <row r="267" spans="1:119" s="6" customFormat="1">
      <c r="A267" s="6" t="str">
        <f>HYPERLINK(".\links\pep\TI-344-pep.txt","TI-344")</f>
        <v>TI-344</v>
      </c>
      <c r="B267" s="6">
        <v>344</v>
      </c>
      <c r="C267" s="6" t="s">
        <v>24</v>
      </c>
      <c r="D267" s="6">
        <v>75</v>
      </c>
      <c r="E267" s="6">
        <v>0</v>
      </c>
      <c r="F267" s="6" t="str">
        <f>HYPERLINK(".\links\cds\TI-344-cds.txt","TI-344")</f>
        <v>TI-344</v>
      </c>
      <c r="G267" s="6">
        <v>228</v>
      </c>
      <c r="I267" s="6" t="s">
        <v>8</v>
      </c>
      <c r="J267" s="6" t="s">
        <v>6</v>
      </c>
      <c r="K267" s="6">
        <v>1</v>
      </c>
      <c r="L267" s="6">
        <v>0</v>
      </c>
      <c r="M267" s="6">
        <f t="shared" si="5"/>
        <v>1</v>
      </c>
      <c r="N267" s="6" t="s">
        <v>1170</v>
      </c>
      <c r="O267" s="6" t="s">
        <v>1171</v>
      </c>
      <c r="S267" s="6" t="str">
        <f>HYPERLINK(".\links\NR-LIGHT\TI-344-NR-LIGHT.txt","hypothetical protein")</f>
        <v>hypothetical protein</v>
      </c>
      <c r="T267" s="6" t="str">
        <f>HYPERLINK("http://www.ncbi.nlm.nih.gov/sutils/blink.cgi?pid=156097410","2.6")</f>
        <v>2.6</v>
      </c>
      <c r="U267" s="6" t="str">
        <f>HYPERLINK("http://www.ncbi.nlm.nih.gov/protein/156097410","gi|156097410")</f>
        <v>gi|156097410</v>
      </c>
      <c r="V267" s="6">
        <v>33.1</v>
      </c>
      <c r="W267" s="6">
        <v>32</v>
      </c>
      <c r="X267" s="6">
        <v>1238</v>
      </c>
      <c r="Y267" s="6">
        <v>36</v>
      </c>
      <c r="Z267" s="6">
        <v>3</v>
      </c>
      <c r="AA267" s="6">
        <v>21</v>
      </c>
      <c r="AB267" s="6">
        <v>0</v>
      </c>
      <c r="AC267" s="6">
        <v>959</v>
      </c>
      <c r="AD267" s="6">
        <v>26</v>
      </c>
      <c r="AE267" s="6">
        <v>1</v>
      </c>
      <c r="AG267" s="6" t="s">
        <v>13</v>
      </c>
      <c r="AH267" s="6" t="s">
        <v>51</v>
      </c>
      <c r="AI267" s="6" t="s">
        <v>296</v>
      </c>
      <c r="AJ267" s="6" t="s">
        <v>8</v>
      </c>
      <c r="AX267" s="6" t="s">
        <v>8</v>
      </c>
      <c r="BK267" s="6" t="s">
        <v>8</v>
      </c>
      <c r="CB267" s="6" t="s">
        <v>8</v>
      </c>
      <c r="CE267" s="6" t="s">
        <v>8</v>
      </c>
      <c r="CH267" s="6" t="s">
        <v>8</v>
      </c>
      <c r="CJ267" s="6" t="s">
        <v>8</v>
      </c>
      <c r="CL267" s="6" t="s">
        <v>8</v>
      </c>
      <c r="CN267" s="6" t="s">
        <v>8</v>
      </c>
      <c r="DB267" s="6" t="s">
        <v>8</v>
      </c>
    </row>
    <row r="268" spans="1:119" s="6" customFormat="1">
      <c r="A268" s="6" t="str">
        <f>HYPERLINK(".\links\pep\TI-34-pep.txt","TI-34")</f>
        <v>TI-34</v>
      </c>
      <c r="B268" s="6">
        <v>34</v>
      </c>
      <c r="C268" s="6" t="s">
        <v>10</v>
      </c>
      <c r="D268" s="6">
        <v>18</v>
      </c>
      <c r="E268" s="6">
        <v>0</v>
      </c>
      <c r="F268" s="6" t="str">
        <f>HYPERLINK(".\links\cds\TI-34-cds.txt","TI-34")</f>
        <v>TI-34</v>
      </c>
      <c r="G268" s="6">
        <v>57</v>
      </c>
      <c r="I268" s="6" t="s">
        <v>8</v>
      </c>
      <c r="J268" s="6" t="s">
        <v>6</v>
      </c>
      <c r="K268" s="6">
        <v>1</v>
      </c>
      <c r="L268" s="6">
        <v>0</v>
      </c>
      <c r="M268" s="6">
        <f t="shared" si="5"/>
        <v>1</v>
      </c>
      <c r="N268" s="6" t="s">
        <v>1170</v>
      </c>
      <c r="O268" s="6" t="s">
        <v>1171</v>
      </c>
      <c r="S268" s="6" t="s">
        <v>8</v>
      </c>
      <c r="AJ268" s="6" t="s">
        <v>8</v>
      </c>
      <c r="AX268" s="6" t="s">
        <v>8</v>
      </c>
      <c r="BK268" s="6" t="s">
        <v>8</v>
      </c>
      <c r="CB268" s="6" t="s">
        <v>8</v>
      </c>
      <c r="CE268" s="6" t="s">
        <v>8</v>
      </c>
      <c r="CH268" s="6" t="s">
        <v>8</v>
      </c>
      <c r="CJ268" s="6" t="s">
        <v>8</v>
      </c>
      <c r="CL268" s="6" t="s">
        <v>8</v>
      </c>
      <c r="CN268" s="6" t="s">
        <v>8</v>
      </c>
      <c r="DB268" s="6" t="s">
        <v>8</v>
      </c>
    </row>
    <row r="269" spans="1:119" s="6" customFormat="1">
      <c r="A269" t="str">
        <f>HYPERLINK(".\links\pep\TI-338-pep.txt","TI-338")</f>
        <v>TI-338</v>
      </c>
      <c r="B269">
        <v>338</v>
      </c>
      <c r="C269" t="s">
        <v>11</v>
      </c>
      <c r="D269">
        <v>184</v>
      </c>
      <c r="E269" s="2">
        <v>2.1739130000000002</v>
      </c>
      <c r="F269" t="str">
        <f>HYPERLINK(".\links\cds\TI-338-cds.txt","TI-338")</f>
        <v>TI-338</v>
      </c>
      <c r="G269">
        <v>555</v>
      </c>
      <c r="H269"/>
      <c r="I269" t="s">
        <v>8</v>
      </c>
      <c r="J269" t="s">
        <v>6</v>
      </c>
      <c r="K269">
        <v>1</v>
      </c>
      <c r="L269">
        <v>0</v>
      </c>
      <c r="M269">
        <f t="shared" si="5"/>
        <v>1</v>
      </c>
      <c r="N269" t="s">
        <v>1224</v>
      </c>
      <c r="O269" t="s">
        <v>1187</v>
      </c>
      <c r="P269" t="str">
        <f>HYPERLINK(".\links\NR-LIGHT\TI-338-NR-LIGHT.txt","NR-LIGHT")</f>
        <v>NR-LIGHT</v>
      </c>
      <c r="Q269" s="3">
        <v>9.0000000000000004E-71</v>
      </c>
      <c r="R269">
        <v>44.8</v>
      </c>
      <c r="S269" t="str">
        <f>HYPERLINK(".\links\NR-LIGHT\TI-338-NR-LIGHT.txt","Nuclear hormone receptor FTZ-F1, putative")</f>
        <v>Nuclear hormone receptor FTZ-F1, putative</v>
      </c>
      <c r="T269" t="str">
        <f>HYPERLINK("http://www.ncbi.nlm.nih.gov/sutils/blink.cgi?pid=242019865","9E-071")</f>
        <v>9E-071</v>
      </c>
      <c r="U269" t="str">
        <f>HYPERLINK("http://www.ncbi.nlm.nih.gov/protein/242019865","gi|242019865")</f>
        <v>gi|242019865</v>
      </c>
      <c r="V269">
        <v>268</v>
      </c>
      <c r="W269">
        <v>181</v>
      </c>
      <c r="X269">
        <v>406</v>
      </c>
      <c r="Y269">
        <v>71</v>
      </c>
      <c r="Z269">
        <v>45</v>
      </c>
      <c r="AA269">
        <v>51</v>
      </c>
      <c r="AB269">
        <v>0</v>
      </c>
      <c r="AC269">
        <v>225</v>
      </c>
      <c r="AD269">
        <v>3</v>
      </c>
      <c r="AE269">
        <v>1</v>
      </c>
      <c r="AF269"/>
      <c r="AG269" t="s">
        <v>13</v>
      </c>
      <c r="AH269" t="s">
        <v>51</v>
      </c>
      <c r="AI269" t="s">
        <v>268</v>
      </c>
      <c r="AJ269" t="str">
        <f>HYPERLINK(".\links\SWISSP\TI-338-SWISSP.txt","Nuclear hormone receptor FTZ-F1 OS=Bombyx mori GN=FTZ-F1 PE=1 SV=2")</f>
        <v>Nuclear hormone receptor FTZ-F1 OS=Bombyx mori GN=FTZ-F1 PE=1 SV=2</v>
      </c>
      <c r="AK269" t="str">
        <f>HYPERLINK("http://www.uniprot.org/uniprot/P49867","6E-064")</f>
        <v>6E-064</v>
      </c>
      <c r="AL269" t="s">
        <v>97</v>
      </c>
      <c r="AM269">
        <v>243</v>
      </c>
      <c r="AN269">
        <v>181</v>
      </c>
      <c r="AO269">
        <v>534</v>
      </c>
      <c r="AP269">
        <v>63</v>
      </c>
      <c r="AQ269">
        <v>34</v>
      </c>
      <c r="AR269">
        <v>67</v>
      </c>
      <c r="AS269">
        <v>0</v>
      </c>
      <c r="AT269">
        <v>352</v>
      </c>
      <c r="AU269">
        <v>3</v>
      </c>
      <c r="AV269">
        <v>1</v>
      </c>
      <c r="AW269" t="s">
        <v>54</v>
      </c>
      <c r="AX269" t="str">
        <f>HYPERLINK(".\links\PREV-RHOD-PEP\TI-338-PREV-RHOD-PEP.txt","Contig17978_37")</f>
        <v>Contig17978_37</v>
      </c>
      <c r="AY269" s="3">
        <v>1.9999999999999999E-82</v>
      </c>
      <c r="AZ269" t="s">
        <v>1012</v>
      </c>
      <c r="BA269">
        <v>300</v>
      </c>
      <c r="BB269">
        <v>167</v>
      </c>
      <c r="BC269">
        <v>234</v>
      </c>
      <c r="BD269">
        <v>86</v>
      </c>
      <c r="BE269">
        <v>72</v>
      </c>
      <c r="BF269">
        <v>22</v>
      </c>
      <c r="BG269">
        <v>0</v>
      </c>
      <c r="BH269">
        <v>67</v>
      </c>
      <c r="BI269">
        <v>17</v>
      </c>
      <c r="BJ269">
        <v>1</v>
      </c>
      <c r="BK269" t="s">
        <v>466</v>
      </c>
      <c r="BL269">
        <f>HYPERLINK(".\links\GO\TI-338-GO.txt",3E-61)</f>
        <v>3.0000000000000001E-61</v>
      </c>
      <c r="BM269" t="s">
        <v>467</v>
      </c>
      <c r="BN269" t="s">
        <v>340</v>
      </c>
      <c r="BO269" t="s">
        <v>468</v>
      </c>
      <c r="BP269" t="s">
        <v>469</v>
      </c>
      <c r="BQ269" s="3">
        <v>3.0000000000000001E-61</v>
      </c>
      <c r="BR269" t="s">
        <v>447</v>
      </c>
      <c r="BS269" t="s">
        <v>323</v>
      </c>
      <c r="BT269" t="s">
        <v>334</v>
      </c>
      <c r="BU269" t="s">
        <v>448</v>
      </c>
      <c r="BV269" s="3">
        <v>3.0000000000000001E-61</v>
      </c>
      <c r="BW269" t="s">
        <v>470</v>
      </c>
      <c r="BX269" t="s">
        <v>340</v>
      </c>
      <c r="BY269" t="s">
        <v>468</v>
      </c>
      <c r="BZ269" t="s">
        <v>471</v>
      </c>
      <c r="CA269" s="3">
        <v>3.0000000000000001E-61</v>
      </c>
      <c r="CB269" t="s">
        <v>8</v>
      </c>
      <c r="CC269"/>
      <c r="CD269"/>
      <c r="CE269" t="s">
        <v>8</v>
      </c>
      <c r="CF269"/>
      <c r="CG269"/>
      <c r="CH269" t="s">
        <v>8</v>
      </c>
      <c r="CI269"/>
      <c r="CJ269" t="s">
        <v>8</v>
      </c>
      <c r="CK269"/>
      <c r="CL269" t="s">
        <v>8</v>
      </c>
      <c r="CM269"/>
      <c r="CN269" t="s">
        <v>8</v>
      </c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 t="s">
        <v>8</v>
      </c>
      <c r="DC269"/>
      <c r="DD269"/>
      <c r="DE269"/>
      <c r="DF269"/>
      <c r="DG269"/>
      <c r="DH269"/>
      <c r="DI269"/>
      <c r="DJ269"/>
      <c r="DK269"/>
      <c r="DL269"/>
      <c r="DM269"/>
      <c r="DN269"/>
      <c r="DO269"/>
    </row>
    <row r="270" spans="1:119" s="6" customFormat="1">
      <c r="A270" t="str">
        <f>HYPERLINK(".\links\pep\TI-335-pep.txt","TI-335")</f>
        <v>TI-335</v>
      </c>
      <c r="B270">
        <v>335</v>
      </c>
      <c r="C270" t="s">
        <v>23</v>
      </c>
      <c r="D270">
        <v>128</v>
      </c>
      <c r="E270">
        <v>0</v>
      </c>
      <c r="F270" t="str">
        <f>HYPERLINK(".\links\cds\TI-335-cds.txt","TI-335")</f>
        <v>TI-335</v>
      </c>
      <c r="G270">
        <v>387</v>
      </c>
      <c r="H270"/>
      <c r="I270" t="s">
        <v>8</v>
      </c>
      <c r="J270" t="s">
        <v>6</v>
      </c>
      <c r="K270">
        <v>1</v>
      </c>
      <c r="L270">
        <v>0</v>
      </c>
      <c r="M270">
        <f t="shared" si="5"/>
        <v>1</v>
      </c>
      <c r="N270" t="s">
        <v>1320</v>
      </c>
      <c r="O270" t="s">
        <v>1173</v>
      </c>
      <c r="P270" t="str">
        <f>HYPERLINK(".\links\NR-LIGHT\TI-335-NR-LIGHT.txt","NR-LIGHT")</f>
        <v>NR-LIGHT</v>
      </c>
      <c r="Q270" s="3">
        <v>1.9999999999999999E-20</v>
      </c>
      <c r="R270">
        <v>33.5</v>
      </c>
      <c r="S270" t="str">
        <f>HYPERLINK(".\links\NR-LIGHT\TI-335-NR-LIGHT.txt","hypothetical protein TcasGA2_TC000236")</f>
        <v>hypothetical protein TcasGA2_TC000236</v>
      </c>
      <c r="T270" t="str">
        <f>HYPERLINK("http://www.ncbi.nlm.nih.gov/sutils/blink.cgi?pid=270001417","3E-021")</f>
        <v>3E-021</v>
      </c>
      <c r="U270" t="str">
        <f>HYPERLINK("http://www.ncbi.nlm.nih.gov/protein/270001417","gi|270001417")</f>
        <v>gi|270001417</v>
      </c>
      <c r="V270">
        <v>102</v>
      </c>
      <c r="W270">
        <v>107</v>
      </c>
      <c r="X270">
        <v>304</v>
      </c>
      <c r="Y270">
        <v>46</v>
      </c>
      <c r="Z270">
        <v>36</v>
      </c>
      <c r="AA270">
        <v>59</v>
      </c>
      <c r="AB270">
        <v>4</v>
      </c>
      <c r="AC270">
        <v>197</v>
      </c>
      <c r="AD270">
        <v>9</v>
      </c>
      <c r="AE270">
        <v>1</v>
      </c>
      <c r="AF270"/>
      <c r="AG270" t="s">
        <v>13</v>
      </c>
      <c r="AH270" t="s">
        <v>51</v>
      </c>
      <c r="AI270" t="s">
        <v>266</v>
      </c>
      <c r="AJ270" t="str">
        <f>HYPERLINK(".\links\SWISSP\TI-335-SWISSP.txt","Lipase member H OS=Xenopus tropicalis GN=liph PE=2 SV=1")</f>
        <v>Lipase member H OS=Xenopus tropicalis GN=liph PE=2 SV=1</v>
      </c>
      <c r="AK270" t="str">
        <f>HYPERLINK("http://www.uniprot.org/uniprot/Q5XGE9","4E-010")</f>
        <v>4E-010</v>
      </c>
      <c r="AL270" t="s">
        <v>199</v>
      </c>
      <c r="AM270">
        <v>63.5</v>
      </c>
      <c r="AN270">
        <v>82</v>
      </c>
      <c r="AO270">
        <v>460</v>
      </c>
      <c r="AP270">
        <v>39</v>
      </c>
      <c r="AQ270">
        <v>18</v>
      </c>
      <c r="AR270">
        <v>51</v>
      </c>
      <c r="AS270">
        <v>6</v>
      </c>
      <c r="AT270">
        <v>210</v>
      </c>
      <c r="AU270">
        <v>9</v>
      </c>
      <c r="AV270">
        <v>1</v>
      </c>
      <c r="AW270" t="s">
        <v>100</v>
      </c>
      <c r="AX270" t="str">
        <f>HYPERLINK(".\links\PREV-RHOD-PEP\TI-335-PREV-RHOD-PEP.txt","Contig15864_4")</f>
        <v>Contig15864_4</v>
      </c>
      <c r="AY270" s="3">
        <v>1.9999999999999999E-48</v>
      </c>
      <c r="AZ270" t="s">
        <v>1116</v>
      </c>
      <c r="BA270">
        <v>186</v>
      </c>
      <c r="BB270">
        <v>743</v>
      </c>
      <c r="BC270">
        <v>907</v>
      </c>
      <c r="BD270">
        <v>74</v>
      </c>
      <c r="BE270">
        <v>82</v>
      </c>
      <c r="BF270">
        <v>29</v>
      </c>
      <c r="BG270">
        <v>0</v>
      </c>
      <c r="BH270">
        <v>163</v>
      </c>
      <c r="BI270">
        <v>9</v>
      </c>
      <c r="BJ270">
        <v>3</v>
      </c>
      <c r="BK270" t="s">
        <v>817</v>
      </c>
      <c r="BL270">
        <f>HYPERLINK(".\links\GO\TI-335-GO.txt",5E-20)</f>
        <v>4.9999999999999999E-20</v>
      </c>
      <c r="BM270" t="s">
        <v>818</v>
      </c>
      <c r="BN270" t="s">
        <v>345</v>
      </c>
      <c r="BO270" t="s">
        <v>349</v>
      </c>
      <c r="BP270" t="s">
        <v>819</v>
      </c>
      <c r="BQ270">
        <v>2.0000000000000001E-10</v>
      </c>
      <c r="BR270" t="s">
        <v>501</v>
      </c>
      <c r="BS270" t="s">
        <v>501</v>
      </c>
      <c r="BT270"/>
      <c r="BU270" t="s">
        <v>502</v>
      </c>
      <c r="BV270">
        <v>2.0000000000000001E-10</v>
      </c>
      <c r="BW270" t="s">
        <v>820</v>
      </c>
      <c r="BX270" t="s">
        <v>345</v>
      </c>
      <c r="BY270" t="s">
        <v>349</v>
      </c>
      <c r="BZ270" t="s">
        <v>821</v>
      </c>
      <c r="CA270">
        <v>2.0000000000000001E-10</v>
      </c>
      <c r="CB270" t="s">
        <v>8</v>
      </c>
      <c r="CC270"/>
      <c r="CD270"/>
      <c r="CE270" t="s">
        <v>8</v>
      </c>
      <c r="CF270"/>
      <c r="CG270"/>
      <c r="CH270" t="s">
        <v>8</v>
      </c>
      <c r="CI270"/>
      <c r="CJ270" t="s">
        <v>8</v>
      </c>
      <c r="CK270"/>
      <c r="CL270" t="s">
        <v>8</v>
      </c>
      <c r="CM270"/>
      <c r="CN270" t="s">
        <v>8</v>
      </c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 t="s">
        <v>8</v>
      </c>
      <c r="DC270"/>
      <c r="DD270"/>
      <c r="DE270"/>
      <c r="DF270"/>
      <c r="DG270"/>
      <c r="DH270"/>
      <c r="DI270"/>
      <c r="DJ270"/>
      <c r="DK270"/>
      <c r="DL270"/>
      <c r="DM270"/>
      <c r="DN270"/>
      <c r="DO270"/>
    </row>
    <row r="271" spans="1:119" s="6" customFormat="1">
      <c r="A271" s="6" t="str">
        <f>HYPERLINK(".\links\pep\TI-334-pep.txt","TI-334")</f>
        <v>TI-334</v>
      </c>
      <c r="B271" s="6">
        <v>334</v>
      </c>
      <c r="C271" s="6" t="s">
        <v>21</v>
      </c>
      <c r="D271" s="6">
        <v>106</v>
      </c>
      <c r="E271" s="6">
        <v>0</v>
      </c>
      <c r="F271" s="6" t="str">
        <f>HYPERLINK(".\links\cds\TI-334-cds.txt","TI-334")</f>
        <v>TI-334</v>
      </c>
      <c r="G271" s="6">
        <v>321</v>
      </c>
      <c r="I271" s="6" t="s">
        <v>8</v>
      </c>
      <c r="J271" s="6" t="s">
        <v>6</v>
      </c>
      <c r="K271" s="6">
        <v>1</v>
      </c>
      <c r="L271" s="6">
        <v>0</v>
      </c>
      <c r="M271" s="6">
        <f t="shared" si="5"/>
        <v>1</v>
      </c>
      <c r="N271" s="6" t="s">
        <v>1170</v>
      </c>
      <c r="O271" s="6" t="s">
        <v>1171</v>
      </c>
      <c r="S271" s="6" t="str">
        <f>HYPERLINK(".\links\NR-LIGHT\TI-334-NR-LIGHT.txt","Lian-Aa1 retrotransposon protein")</f>
        <v>Lian-Aa1 retrotransposon protein</v>
      </c>
      <c r="T271" s="6" t="str">
        <f>HYPERLINK("http://www.ncbi.nlm.nih.gov/sutils/blink.cgi?pid=2290213","3E-005")</f>
        <v>3E-005</v>
      </c>
      <c r="U271" s="6" t="str">
        <f>HYPERLINK("http://www.ncbi.nlm.nih.gov/protein/2290213","gi|2290213")</f>
        <v>gi|2290213</v>
      </c>
      <c r="V271" s="6">
        <v>49.3</v>
      </c>
      <c r="W271" s="6">
        <v>80</v>
      </c>
      <c r="X271" s="6">
        <v>1189</v>
      </c>
      <c r="Y271" s="6">
        <v>32</v>
      </c>
      <c r="Z271" s="6">
        <v>7</v>
      </c>
      <c r="AA271" s="6">
        <v>55</v>
      </c>
      <c r="AB271" s="6">
        <v>0</v>
      </c>
      <c r="AC271" s="6">
        <v>1107</v>
      </c>
      <c r="AD271" s="6">
        <v>14</v>
      </c>
      <c r="AE271" s="6">
        <v>1</v>
      </c>
      <c r="AG271" s="6" t="s">
        <v>13</v>
      </c>
      <c r="AH271" s="6" t="s">
        <v>51</v>
      </c>
      <c r="AI271" s="6" t="s">
        <v>76</v>
      </c>
      <c r="AJ271" s="6" t="s">
        <v>8</v>
      </c>
      <c r="AX271" s="6" t="str">
        <f>HYPERLINK(".\links\PREV-RHOD-PEP\TI-334-PREV-RHOD-PEP.txt","Contig15973_8")</f>
        <v>Contig15973_8</v>
      </c>
      <c r="AY271" s="8">
        <v>9.9999999999999998E-13</v>
      </c>
      <c r="AZ271" s="6" t="s">
        <v>1115</v>
      </c>
      <c r="BA271" s="6">
        <v>68.2</v>
      </c>
      <c r="BB271" s="6">
        <v>77</v>
      </c>
      <c r="BC271" s="6">
        <v>207</v>
      </c>
      <c r="BD271" s="6">
        <v>41</v>
      </c>
      <c r="BE271" s="6">
        <v>38</v>
      </c>
      <c r="BF271" s="6">
        <v>46</v>
      </c>
      <c r="BG271" s="6">
        <v>0</v>
      </c>
      <c r="BH271" s="6">
        <v>70</v>
      </c>
      <c r="BI271" s="6">
        <v>15</v>
      </c>
      <c r="BJ271" s="6">
        <v>1</v>
      </c>
      <c r="BK271" s="6" t="s">
        <v>8</v>
      </c>
      <c r="CB271" s="6" t="s">
        <v>8</v>
      </c>
      <c r="CE271" s="6" t="s">
        <v>8</v>
      </c>
      <c r="CH271" s="6" t="s">
        <v>8</v>
      </c>
      <c r="CJ271" s="6" t="s">
        <v>8</v>
      </c>
      <c r="CL271" s="6" t="s">
        <v>8</v>
      </c>
      <c r="CN271" s="6" t="s">
        <v>8</v>
      </c>
      <c r="DB271" s="6" t="s">
        <v>8</v>
      </c>
    </row>
    <row r="272" spans="1:119" s="6" customFormat="1">
      <c r="A272" t="str">
        <f>HYPERLINK(".\links\pep\TI-332-pep.txt","TI-332")</f>
        <v>TI-332</v>
      </c>
      <c r="B272">
        <v>332</v>
      </c>
      <c r="C272" t="s">
        <v>17</v>
      </c>
      <c r="D272">
        <v>157</v>
      </c>
      <c r="E272">
        <v>0</v>
      </c>
      <c r="F272" t="str">
        <f>HYPERLINK(".\links\cds\TI-332-cds.txt","TI-332")</f>
        <v>TI-332</v>
      </c>
      <c r="G272">
        <v>474</v>
      </c>
      <c r="H272"/>
      <c r="I272" t="s">
        <v>8</v>
      </c>
      <c r="J272" t="s">
        <v>6</v>
      </c>
      <c r="K272">
        <v>1</v>
      </c>
      <c r="L272">
        <v>0</v>
      </c>
      <c r="M272">
        <f t="shared" si="5"/>
        <v>1</v>
      </c>
      <c r="N272" t="s">
        <v>1223</v>
      </c>
      <c r="O272" t="s">
        <v>1187</v>
      </c>
      <c r="P272" t="str">
        <f>HYPERLINK(".\links\GO\TI-332-GO.txt","GO")</f>
        <v>GO</v>
      </c>
      <c r="Q272" s="3">
        <v>4E-79</v>
      </c>
      <c r="R272">
        <v>97.9</v>
      </c>
      <c r="S272" t="str">
        <f>HYPERLINK(".\links\NR-LIGHT\TI-332-NR-LIGHT.txt","effete")</f>
        <v>effete</v>
      </c>
      <c r="T272" t="str">
        <f>HYPERLINK("http://www.ncbi.nlm.nih.gov/sutils/blink.cgi?pid=24646906","5E-078")</f>
        <v>5E-078</v>
      </c>
      <c r="U272" t="str">
        <f>HYPERLINK("http://www.ncbi.nlm.nih.gov/protein/24646906","gi|24646906")</f>
        <v>gi|24646906</v>
      </c>
      <c r="V272">
        <v>291</v>
      </c>
      <c r="W272">
        <v>143</v>
      </c>
      <c r="X272">
        <v>147</v>
      </c>
      <c r="Y272">
        <v>97</v>
      </c>
      <c r="Z272">
        <v>98</v>
      </c>
      <c r="AA272">
        <v>3</v>
      </c>
      <c r="AB272">
        <v>0</v>
      </c>
      <c r="AC272">
        <v>4</v>
      </c>
      <c r="AD272">
        <v>14</v>
      </c>
      <c r="AE272">
        <v>1</v>
      </c>
      <c r="AF272"/>
      <c r="AG272" t="s">
        <v>13</v>
      </c>
      <c r="AH272" t="s">
        <v>51</v>
      </c>
      <c r="AI272" t="s">
        <v>295</v>
      </c>
      <c r="AJ272" t="str">
        <f>HYPERLINK(".\links\SWISSP\TI-332-SWISSP.txt","Ubiquitin-conjugating enzyme E2-17 kDa OS=Drosophila melanogaster GN=eff PE=1")</f>
        <v>Ubiquitin-conjugating enzyme E2-17 kDa OS=Drosophila melanogaster GN=eff PE=1</v>
      </c>
      <c r="AK272" t="str">
        <f>HYPERLINK("http://www.uniprot.org/uniprot/P25867","1E-078")</f>
        <v>1E-078</v>
      </c>
      <c r="AL272" t="s">
        <v>198</v>
      </c>
      <c r="AM272">
        <v>291</v>
      </c>
      <c r="AN272">
        <v>143</v>
      </c>
      <c r="AO272">
        <v>147</v>
      </c>
      <c r="AP272">
        <v>97</v>
      </c>
      <c r="AQ272">
        <v>98</v>
      </c>
      <c r="AR272">
        <v>3</v>
      </c>
      <c r="AS272">
        <v>0</v>
      </c>
      <c r="AT272">
        <v>4</v>
      </c>
      <c r="AU272">
        <v>14</v>
      </c>
      <c r="AV272">
        <v>1</v>
      </c>
      <c r="AW272" t="s">
        <v>52</v>
      </c>
      <c r="AX272" t="str">
        <f>HYPERLINK(".\links\PREV-RHOD-PEP\TI-332-PREV-RHOD-PEP.txt","Contig18002_12")</f>
        <v>Contig18002_12</v>
      </c>
      <c r="AY272" s="3">
        <v>9.0000000000000006E-80</v>
      </c>
      <c r="AZ272" t="s">
        <v>1114</v>
      </c>
      <c r="BA272">
        <v>291</v>
      </c>
      <c r="BB272">
        <v>143</v>
      </c>
      <c r="BC272">
        <v>147</v>
      </c>
      <c r="BD272">
        <v>97</v>
      </c>
      <c r="BE272">
        <v>98</v>
      </c>
      <c r="BF272">
        <v>3</v>
      </c>
      <c r="BG272">
        <v>0</v>
      </c>
      <c r="BH272">
        <v>4</v>
      </c>
      <c r="BI272">
        <v>14</v>
      </c>
      <c r="BJ272">
        <v>1</v>
      </c>
      <c r="BK272" t="s">
        <v>816</v>
      </c>
      <c r="BL272">
        <f>HYPERLINK(".\links\GO\TI-332-GO.txt",4E-79)</f>
        <v>4E-79</v>
      </c>
      <c r="BM272" t="s">
        <v>8</v>
      </c>
      <c r="BN272" t="s">
        <v>8</v>
      </c>
      <c r="BO272" t="s">
        <v>8</v>
      </c>
      <c r="BP272" t="s">
        <v>8</v>
      </c>
      <c r="BQ272" t="s">
        <v>8</v>
      </c>
      <c r="BR272" t="s">
        <v>375</v>
      </c>
      <c r="BS272" t="s">
        <v>375</v>
      </c>
      <c r="BT272"/>
      <c r="BU272" t="s">
        <v>376</v>
      </c>
      <c r="BV272" s="3">
        <v>1.9999999999999999E-74</v>
      </c>
      <c r="BW272" t="s">
        <v>8</v>
      </c>
      <c r="BX272" t="s">
        <v>8</v>
      </c>
      <c r="BY272" t="s">
        <v>8</v>
      </c>
      <c r="BZ272" t="s">
        <v>8</v>
      </c>
      <c r="CA272" t="s">
        <v>8</v>
      </c>
      <c r="CB272" t="s">
        <v>8</v>
      </c>
      <c r="CC272"/>
      <c r="CD272"/>
      <c r="CE272" t="s">
        <v>8</v>
      </c>
      <c r="CF272"/>
      <c r="CG272"/>
      <c r="CH272" t="s">
        <v>8</v>
      </c>
      <c r="CI272"/>
      <c r="CJ272" t="s">
        <v>8</v>
      </c>
      <c r="CK272"/>
      <c r="CL272" t="s">
        <v>8</v>
      </c>
      <c r="CM272"/>
      <c r="CN272" t="s">
        <v>8</v>
      </c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 t="s">
        <v>8</v>
      </c>
      <c r="DC272"/>
      <c r="DD272"/>
      <c r="DE272"/>
      <c r="DF272"/>
      <c r="DG272"/>
      <c r="DH272"/>
      <c r="DI272"/>
      <c r="DJ272"/>
      <c r="DK272"/>
      <c r="DL272"/>
      <c r="DM272"/>
      <c r="DN272"/>
      <c r="DO272"/>
    </row>
    <row r="273" spans="1:119" s="6" customFormat="1">
      <c r="A273" s="6" t="str">
        <f>HYPERLINK(".\links\pep\TI-330-pep.txt","TI-330")</f>
        <v>TI-330</v>
      </c>
      <c r="B273" s="6">
        <v>330</v>
      </c>
      <c r="C273" s="6" t="s">
        <v>10</v>
      </c>
      <c r="D273" s="6">
        <v>54</v>
      </c>
      <c r="E273" s="6">
        <v>0</v>
      </c>
      <c r="F273" s="6" t="str">
        <f>HYPERLINK(".\links\cds\TI-330-cds.txt","TI-330")</f>
        <v>TI-330</v>
      </c>
      <c r="G273" s="6">
        <v>159</v>
      </c>
      <c r="I273" s="6" t="s">
        <v>8</v>
      </c>
      <c r="J273" s="6" t="s">
        <v>8</v>
      </c>
      <c r="K273" s="6">
        <v>1</v>
      </c>
      <c r="L273" s="6">
        <v>0</v>
      </c>
      <c r="M273" s="6">
        <f t="shared" si="5"/>
        <v>1</v>
      </c>
      <c r="N273" s="6" t="s">
        <v>1170</v>
      </c>
      <c r="O273" s="6" t="s">
        <v>1171</v>
      </c>
      <c r="S273" s="6" t="s">
        <v>8</v>
      </c>
      <c r="AJ273" s="6" t="s">
        <v>8</v>
      </c>
      <c r="AX273" s="6" t="s">
        <v>8</v>
      </c>
      <c r="BK273" s="6" t="s">
        <v>8</v>
      </c>
      <c r="CB273" s="6" t="s">
        <v>8</v>
      </c>
      <c r="CE273" s="6" t="s">
        <v>8</v>
      </c>
      <c r="CH273" s="6" t="s">
        <v>8</v>
      </c>
      <c r="CJ273" s="6" t="s">
        <v>8</v>
      </c>
      <c r="CL273" s="6" t="s">
        <v>8</v>
      </c>
      <c r="CN273" s="6" t="s">
        <v>8</v>
      </c>
      <c r="DB273" s="6" t="s">
        <v>8</v>
      </c>
    </row>
    <row r="274" spans="1:119" s="6" customFormat="1">
      <c r="A274" s="6" t="str">
        <f>HYPERLINK(".\links\pep\TI-33-pep.txt","TI-33")</f>
        <v>TI-33</v>
      </c>
      <c r="B274" s="6">
        <v>33</v>
      </c>
      <c r="C274" s="6" t="s">
        <v>22</v>
      </c>
      <c r="D274" s="6">
        <v>22</v>
      </c>
      <c r="E274" s="6">
        <v>0</v>
      </c>
      <c r="F274" s="6" t="str">
        <f>HYPERLINK(".\links\cds\TI-33-cds.txt","TI-33")</f>
        <v>TI-33</v>
      </c>
      <c r="G274" s="6">
        <v>69</v>
      </c>
      <c r="I274" s="6" t="s">
        <v>8</v>
      </c>
      <c r="J274" s="6" t="s">
        <v>6</v>
      </c>
      <c r="K274" s="6">
        <v>1</v>
      </c>
      <c r="L274" s="6">
        <v>0</v>
      </c>
      <c r="M274" s="6">
        <f t="shared" si="5"/>
        <v>1</v>
      </c>
      <c r="N274" s="6" t="s">
        <v>1170</v>
      </c>
      <c r="O274" s="6" t="s">
        <v>1171</v>
      </c>
      <c r="S274" s="6" t="s">
        <v>8</v>
      </c>
      <c r="AJ274" s="6" t="s">
        <v>8</v>
      </c>
      <c r="AX274" s="6" t="s">
        <v>8</v>
      </c>
      <c r="BK274" s="6" t="s">
        <v>8</v>
      </c>
      <c r="CB274" s="6" t="s">
        <v>8</v>
      </c>
      <c r="CE274" s="6" t="s">
        <v>8</v>
      </c>
      <c r="CH274" s="6" t="s">
        <v>8</v>
      </c>
      <c r="CJ274" s="6" t="s">
        <v>8</v>
      </c>
      <c r="CL274" s="6" t="s">
        <v>8</v>
      </c>
      <c r="CN274" s="6" t="s">
        <v>8</v>
      </c>
      <c r="DB274" s="6" t="s">
        <v>8</v>
      </c>
    </row>
    <row r="275" spans="1:119" s="6" customFormat="1">
      <c r="A275" s="6" t="str">
        <f>HYPERLINK(".\links\pep\TI-327-pep.txt","TI-327")</f>
        <v>TI-327</v>
      </c>
      <c r="B275" s="6">
        <v>327</v>
      </c>
      <c r="C275" s="6" t="s">
        <v>22</v>
      </c>
      <c r="D275" s="6">
        <v>30</v>
      </c>
      <c r="E275" s="6">
        <v>0</v>
      </c>
      <c r="F275" s="6" t="str">
        <f>HYPERLINK(".\links\cds\TI-327-cds.txt","TI-327")</f>
        <v>TI-327</v>
      </c>
      <c r="G275" s="6">
        <v>93</v>
      </c>
      <c r="I275" s="6" t="s">
        <v>8</v>
      </c>
      <c r="J275" s="6" t="s">
        <v>6</v>
      </c>
      <c r="K275" s="6">
        <v>1</v>
      </c>
      <c r="L275" s="6">
        <v>0</v>
      </c>
      <c r="M275" s="6">
        <f t="shared" si="5"/>
        <v>1</v>
      </c>
      <c r="N275" s="6" t="s">
        <v>1170</v>
      </c>
      <c r="O275" s="6" t="s">
        <v>1171</v>
      </c>
      <c r="S275" s="6" t="s">
        <v>8</v>
      </c>
      <c r="AJ275" s="6" t="s">
        <v>8</v>
      </c>
      <c r="AX275" s="6" t="s">
        <v>8</v>
      </c>
      <c r="BK275" s="6" t="s">
        <v>8</v>
      </c>
      <c r="CB275" s="6" t="s">
        <v>8</v>
      </c>
      <c r="CE275" s="6" t="s">
        <v>8</v>
      </c>
      <c r="CH275" s="6" t="s">
        <v>8</v>
      </c>
      <c r="CJ275" s="6" t="s">
        <v>8</v>
      </c>
      <c r="CL275" s="6" t="s">
        <v>8</v>
      </c>
      <c r="CN275" s="6" t="s">
        <v>8</v>
      </c>
      <c r="DB275" s="6" t="s">
        <v>8</v>
      </c>
    </row>
    <row r="276" spans="1:119" s="6" customFormat="1">
      <c r="A276" t="str">
        <f>HYPERLINK(".\links\pep\TI-324-pep.txt","TI-324")</f>
        <v>TI-324</v>
      </c>
      <c r="B276">
        <v>324</v>
      </c>
      <c r="C276" t="s">
        <v>7</v>
      </c>
      <c r="D276">
        <v>247</v>
      </c>
      <c r="E276">
        <v>0</v>
      </c>
      <c r="F276" t="str">
        <f>HYPERLINK(".\links\cds\TI-324-cds.txt","TI-324")</f>
        <v>TI-324</v>
      </c>
      <c r="G276">
        <v>744</v>
      </c>
      <c r="H276"/>
      <c r="I276" t="s">
        <v>29</v>
      </c>
      <c r="J276" t="s">
        <v>6</v>
      </c>
      <c r="K276">
        <v>3</v>
      </c>
      <c r="L276">
        <v>0</v>
      </c>
      <c r="M276">
        <f t="shared" si="5"/>
        <v>3</v>
      </c>
      <c r="N276" t="s">
        <v>1222</v>
      </c>
      <c r="O276" t="s">
        <v>1175</v>
      </c>
      <c r="P276" t="str">
        <f>HYPERLINK(".\links\NR-LIGHT\TI-324-NR-LIGHT.txt","NR-LIGHT")</f>
        <v>NR-LIGHT</v>
      </c>
      <c r="Q276">
        <v>0</v>
      </c>
      <c r="R276">
        <v>93.9</v>
      </c>
      <c r="S276" t="str">
        <f>HYPERLINK(".\links\NR-LIGHT\TI-324-NR-LIGHT.txt","multifunctional chaperone")</f>
        <v>multifunctional chaperone</v>
      </c>
      <c r="T276" t="str">
        <f>HYPERLINK("http://www.ncbi.nlm.nih.gov/sutils/blink.cgi?pid=263173438","1E-130")</f>
        <v>1E-130</v>
      </c>
      <c r="U276" t="str">
        <f>HYPERLINK("http://www.ncbi.nlm.nih.gov/protein/263173438","gi|263173438")</f>
        <v>gi|263173438</v>
      </c>
      <c r="V276">
        <v>468</v>
      </c>
      <c r="W276">
        <v>231</v>
      </c>
      <c r="X276">
        <v>247</v>
      </c>
      <c r="Y276">
        <v>98</v>
      </c>
      <c r="Z276">
        <v>94</v>
      </c>
      <c r="AA276">
        <v>4</v>
      </c>
      <c r="AB276">
        <v>0</v>
      </c>
      <c r="AC276">
        <v>1</v>
      </c>
      <c r="AD276">
        <v>1</v>
      </c>
      <c r="AE276">
        <v>1</v>
      </c>
      <c r="AF276"/>
      <c r="AG276" t="s">
        <v>13</v>
      </c>
      <c r="AH276" t="s">
        <v>51</v>
      </c>
      <c r="AI276" t="s">
        <v>280</v>
      </c>
      <c r="AJ276" t="str">
        <f>HYPERLINK(".\links\SWISSP\TI-324-SWISSP.txt","14-3-3 protein zeta OS=Bombyx mori GN=14-3-3zeta PE=2 SV=2")</f>
        <v>14-3-3 protein zeta OS=Bombyx mori GN=14-3-3zeta PE=2 SV=2</v>
      </c>
      <c r="AK276" t="str">
        <f>HYPERLINK("http://www.uniprot.org/uniprot/Q2F637","1E-124")</f>
        <v>1E-124</v>
      </c>
      <c r="AL276" t="s">
        <v>196</v>
      </c>
      <c r="AM276">
        <v>444</v>
      </c>
      <c r="AN276">
        <v>231</v>
      </c>
      <c r="AO276">
        <v>247</v>
      </c>
      <c r="AP276">
        <v>92</v>
      </c>
      <c r="AQ276">
        <v>94</v>
      </c>
      <c r="AR276">
        <v>17</v>
      </c>
      <c r="AS276">
        <v>0</v>
      </c>
      <c r="AT276">
        <v>1</v>
      </c>
      <c r="AU276">
        <v>1</v>
      </c>
      <c r="AV276">
        <v>1</v>
      </c>
      <c r="AW276" t="s">
        <v>54</v>
      </c>
      <c r="AX276" t="str">
        <f>HYPERLINK(".\links\PREV-RHOD-PEP\TI-324-PREV-RHOD-PEP.txt","Contig17897_7")</f>
        <v>Contig17897_7</v>
      </c>
      <c r="AY276" s="3">
        <v>1E-134</v>
      </c>
      <c r="AZ276" t="s">
        <v>1112</v>
      </c>
      <c r="BA276">
        <v>472</v>
      </c>
      <c r="BB276">
        <v>231</v>
      </c>
      <c r="BC276">
        <v>247</v>
      </c>
      <c r="BD276">
        <v>99</v>
      </c>
      <c r="BE276">
        <v>94</v>
      </c>
      <c r="BF276">
        <v>2</v>
      </c>
      <c r="BG276">
        <v>0</v>
      </c>
      <c r="BH276">
        <v>1</v>
      </c>
      <c r="BI276">
        <v>1</v>
      </c>
      <c r="BJ276">
        <v>1</v>
      </c>
      <c r="BK276" t="s">
        <v>805</v>
      </c>
      <c r="BL276">
        <f>HYPERLINK(".\links\GO\TI-324-GO.txt",0)</f>
        <v>0</v>
      </c>
      <c r="BM276" t="s">
        <v>806</v>
      </c>
      <c r="BN276" t="s">
        <v>463</v>
      </c>
      <c r="BO276" t="s">
        <v>807</v>
      </c>
      <c r="BP276" t="s">
        <v>808</v>
      </c>
      <c r="BQ276" s="3">
        <v>1.0000000000000001E-122</v>
      </c>
      <c r="BR276" t="s">
        <v>447</v>
      </c>
      <c r="BS276" t="s">
        <v>323</v>
      </c>
      <c r="BT276" t="s">
        <v>334</v>
      </c>
      <c r="BU276" t="s">
        <v>448</v>
      </c>
      <c r="BV276" s="3">
        <v>1.0000000000000001E-122</v>
      </c>
      <c r="BW276" t="s">
        <v>809</v>
      </c>
      <c r="BX276" t="s">
        <v>463</v>
      </c>
      <c r="BY276" t="s">
        <v>807</v>
      </c>
      <c r="BZ276" t="s">
        <v>810</v>
      </c>
      <c r="CA276" s="3">
        <v>1.0000000000000001E-122</v>
      </c>
      <c r="CB276" t="s">
        <v>8</v>
      </c>
      <c r="CC276"/>
      <c r="CD276"/>
      <c r="CE276" t="s">
        <v>8</v>
      </c>
      <c r="CF276"/>
      <c r="CG276"/>
      <c r="CH276" t="s">
        <v>8</v>
      </c>
      <c r="CI276"/>
      <c r="CJ276" t="s">
        <v>8</v>
      </c>
      <c r="CK276"/>
      <c r="CL276" t="s">
        <v>8</v>
      </c>
      <c r="CM276"/>
      <c r="CN276" t="s">
        <v>8</v>
      </c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 t="s">
        <v>8</v>
      </c>
      <c r="DC276"/>
      <c r="DD276"/>
      <c r="DE276"/>
      <c r="DF276"/>
      <c r="DG276"/>
      <c r="DH276"/>
      <c r="DI276"/>
      <c r="DJ276"/>
      <c r="DK276"/>
      <c r="DL276"/>
      <c r="DM276"/>
      <c r="DN276"/>
      <c r="DO276"/>
    </row>
    <row r="277" spans="1:119" s="6" customFormat="1">
      <c r="A277" t="str">
        <f>HYPERLINK(".\links\pep\TI-323-pep.txt","TI-323")</f>
        <v>TI-323</v>
      </c>
      <c r="B277">
        <v>323</v>
      </c>
      <c r="C277" t="s">
        <v>12</v>
      </c>
      <c r="D277">
        <v>77</v>
      </c>
      <c r="E277">
        <v>0</v>
      </c>
      <c r="F277" t="str">
        <f>HYPERLINK(".\links\cds\TI-323-cds.txt","TI-323")</f>
        <v>TI-323</v>
      </c>
      <c r="G277">
        <v>234</v>
      </c>
      <c r="H277"/>
      <c r="I277" t="s">
        <v>8</v>
      </c>
      <c r="J277" t="s">
        <v>6</v>
      </c>
      <c r="K277">
        <v>1</v>
      </c>
      <c r="L277">
        <v>0</v>
      </c>
      <c r="M277">
        <f t="shared" si="5"/>
        <v>1</v>
      </c>
      <c r="N277" t="s">
        <v>1318</v>
      </c>
      <c r="O277" t="s">
        <v>1178</v>
      </c>
      <c r="P277" t="str">
        <f>HYPERLINK(".\links\NR-LIGHT\TI-323-NR-LIGHT.txt","NR-LIGHT")</f>
        <v>NR-LIGHT</v>
      </c>
      <c r="Q277" s="3">
        <v>9.9999999999999994E-30</v>
      </c>
      <c r="R277">
        <v>95</v>
      </c>
      <c r="S277" t="str">
        <f>HYPERLINK(".\links\NR-LIGHT\TI-323-NR-LIGHT.txt","bladder cancer-associated protein-like")</f>
        <v>bladder cancer-associated protein-like</v>
      </c>
      <c r="T277" t="str">
        <f>HYPERLINK("http://www.ncbi.nlm.nih.gov/sutils/blink.cgi?pid=328786409","1E-029")</f>
        <v>1E-029</v>
      </c>
      <c r="U277" t="str">
        <f>HYPERLINK("http://www.ncbi.nlm.nih.gov/protein/328786409","gi|328786409")</f>
        <v>gi|328786409</v>
      </c>
      <c r="V277">
        <v>130</v>
      </c>
      <c r="W277">
        <v>75</v>
      </c>
      <c r="X277">
        <v>80</v>
      </c>
      <c r="Y277">
        <v>77</v>
      </c>
      <c r="Z277">
        <v>95</v>
      </c>
      <c r="AA277">
        <v>17</v>
      </c>
      <c r="AB277">
        <v>0</v>
      </c>
      <c r="AC277">
        <v>5</v>
      </c>
      <c r="AD277">
        <v>2</v>
      </c>
      <c r="AE277">
        <v>1</v>
      </c>
      <c r="AF277"/>
      <c r="AG277" t="s">
        <v>13</v>
      </c>
      <c r="AH277" t="s">
        <v>51</v>
      </c>
      <c r="AI277" t="s">
        <v>83</v>
      </c>
      <c r="AJ277" t="str">
        <f>HYPERLINK(".\links\SWISSP\TI-323-SWISSP.txt","Bladder cancer-associated protein OS=Rattus norvegicus GN=Blcap PE=2 SV=1")</f>
        <v>Bladder cancer-associated protein OS=Rattus norvegicus GN=Blcap PE=2 SV=1</v>
      </c>
      <c r="AK277" t="str">
        <f>HYPERLINK("http://www.uniprot.org/uniprot/P62950","2E-016")</f>
        <v>2E-016</v>
      </c>
      <c r="AL277" t="s">
        <v>195</v>
      </c>
      <c r="AM277">
        <v>84.3</v>
      </c>
      <c r="AN277">
        <v>68</v>
      </c>
      <c r="AO277">
        <v>87</v>
      </c>
      <c r="AP277">
        <v>55</v>
      </c>
      <c r="AQ277">
        <v>79</v>
      </c>
      <c r="AR277">
        <v>34</v>
      </c>
      <c r="AS277">
        <v>7</v>
      </c>
      <c r="AT277">
        <v>5</v>
      </c>
      <c r="AU277">
        <v>2</v>
      </c>
      <c r="AV277">
        <v>1</v>
      </c>
      <c r="AW277" t="s">
        <v>74</v>
      </c>
      <c r="AX277" t="str">
        <f>HYPERLINK(".\links\PREV-RHOD-PEP\TI-323-PREV-RHOD-PEP.txt","Contig17383_11")</f>
        <v>Contig17383_11</v>
      </c>
      <c r="AY277" s="3">
        <v>1.0000000000000001E-37</v>
      </c>
      <c r="AZ277" t="s">
        <v>1111</v>
      </c>
      <c r="BA277">
        <v>150</v>
      </c>
      <c r="BB277">
        <v>75</v>
      </c>
      <c r="BC277">
        <v>80</v>
      </c>
      <c r="BD277">
        <v>96</v>
      </c>
      <c r="BE277">
        <v>95</v>
      </c>
      <c r="BF277">
        <v>3</v>
      </c>
      <c r="BG277">
        <v>0</v>
      </c>
      <c r="BH277">
        <v>5</v>
      </c>
      <c r="BI277">
        <v>2</v>
      </c>
      <c r="BJ277">
        <v>1</v>
      </c>
      <c r="BK277" t="s">
        <v>804</v>
      </c>
      <c r="BL277">
        <f>HYPERLINK(".\links\GO\TI-323-GO.txt",0.00000000000000005)</f>
        <v>4.9999999999999999E-17</v>
      </c>
      <c r="BM277" t="s">
        <v>373</v>
      </c>
      <c r="BN277" t="s">
        <v>373</v>
      </c>
      <c r="BO277"/>
      <c r="BP277" t="s">
        <v>374</v>
      </c>
      <c r="BQ277" s="3">
        <v>4.9999999999999999E-17</v>
      </c>
      <c r="BR277" t="s">
        <v>8</v>
      </c>
      <c r="BS277" t="s">
        <v>8</v>
      </c>
      <c r="BT277" t="s">
        <v>8</v>
      </c>
      <c r="BU277" t="s">
        <v>8</v>
      </c>
      <c r="BV277" t="s">
        <v>8</v>
      </c>
      <c r="BW277" t="s">
        <v>380</v>
      </c>
      <c r="BX277" t="s">
        <v>373</v>
      </c>
      <c r="BY277"/>
      <c r="BZ277" t="s">
        <v>381</v>
      </c>
      <c r="CA277" s="3">
        <v>4.9999999999999999E-17</v>
      </c>
      <c r="CB277" t="s">
        <v>8</v>
      </c>
      <c r="CC277"/>
      <c r="CD277"/>
      <c r="CE277" t="s">
        <v>8</v>
      </c>
      <c r="CF277"/>
      <c r="CG277"/>
      <c r="CH277" t="s">
        <v>8</v>
      </c>
      <c r="CI277"/>
      <c r="CJ277" t="s">
        <v>8</v>
      </c>
      <c r="CK277"/>
      <c r="CL277" t="s">
        <v>8</v>
      </c>
      <c r="CM277"/>
      <c r="CN277" t="s">
        <v>8</v>
      </c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 t="s">
        <v>8</v>
      </c>
      <c r="DC277"/>
      <c r="DD277"/>
      <c r="DE277"/>
      <c r="DF277"/>
      <c r="DG277"/>
      <c r="DH277"/>
      <c r="DI277"/>
      <c r="DJ277"/>
      <c r="DK277"/>
      <c r="DL277"/>
      <c r="DM277"/>
      <c r="DN277"/>
      <c r="DO277"/>
    </row>
    <row r="278" spans="1:119" s="6" customFormat="1">
      <c r="A278" s="6" t="str">
        <f>HYPERLINK(".\links\pep\TI-322-pep.txt","TI-322")</f>
        <v>TI-322</v>
      </c>
      <c r="B278" s="6">
        <v>322</v>
      </c>
      <c r="C278" s="6" t="s">
        <v>19</v>
      </c>
      <c r="D278" s="6">
        <v>30</v>
      </c>
      <c r="E278" s="6">
        <v>0</v>
      </c>
      <c r="F278" s="6" t="str">
        <f>HYPERLINK(".\links\cds\TI-322-cds.txt","TI-322")</f>
        <v>TI-322</v>
      </c>
      <c r="G278" s="6">
        <v>93</v>
      </c>
      <c r="I278" s="6" t="s">
        <v>8</v>
      </c>
      <c r="J278" s="6" t="s">
        <v>6</v>
      </c>
      <c r="K278" s="6">
        <v>1</v>
      </c>
      <c r="L278" s="6">
        <v>0</v>
      </c>
      <c r="M278" s="6">
        <f t="shared" si="5"/>
        <v>1</v>
      </c>
      <c r="N278" s="6" t="s">
        <v>1170</v>
      </c>
      <c r="O278" s="6" t="s">
        <v>1171</v>
      </c>
      <c r="S278" s="6" t="s">
        <v>8</v>
      </c>
      <c r="AJ278" s="6" t="s">
        <v>8</v>
      </c>
      <c r="AX278" s="6" t="s">
        <v>8</v>
      </c>
      <c r="BK278" s="6" t="s">
        <v>8</v>
      </c>
      <c r="CB278" s="6" t="s">
        <v>8</v>
      </c>
      <c r="CE278" s="6" t="s">
        <v>8</v>
      </c>
      <c r="CH278" s="6" t="s">
        <v>8</v>
      </c>
      <c r="CJ278" s="6" t="s">
        <v>8</v>
      </c>
      <c r="CL278" s="6" t="s">
        <v>8</v>
      </c>
      <c r="CN278" s="6" t="s">
        <v>8</v>
      </c>
      <c r="DB278" s="6" t="s">
        <v>8</v>
      </c>
    </row>
    <row r="279" spans="1:119" s="6" customFormat="1">
      <c r="A279" s="6" t="str">
        <f>HYPERLINK(".\links\pep\TI-321-pep.txt","TI-321")</f>
        <v>TI-321</v>
      </c>
      <c r="B279" s="6">
        <v>321</v>
      </c>
      <c r="C279" s="6" t="s">
        <v>17</v>
      </c>
      <c r="D279" s="6">
        <v>56</v>
      </c>
      <c r="E279" s="6">
        <v>0</v>
      </c>
      <c r="F279" s="6" t="str">
        <f>HYPERLINK(".\links\cds\TI-321-cds.txt","TI-321")</f>
        <v>TI-321</v>
      </c>
      <c r="G279" s="6">
        <v>171</v>
      </c>
      <c r="I279" s="6" t="s">
        <v>8</v>
      </c>
      <c r="J279" s="6" t="s">
        <v>6</v>
      </c>
      <c r="K279" s="6">
        <v>1</v>
      </c>
      <c r="L279" s="6">
        <v>0</v>
      </c>
      <c r="M279" s="6">
        <f t="shared" si="5"/>
        <v>1</v>
      </c>
      <c r="N279" s="6" t="s">
        <v>1170</v>
      </c>
      <c r="O279" s="6" t="s">
        <v>1171</v>
      </c>
      <c r="S279" s="6" t="s">
        <v>8</v>
      </c>
      <c r="AJ279" s="6" t="s">
        <v>8</v>
      </c>
      <c r="AX279" s="6" t="s">
        <v>8</v>
      </c>
      <c r="BK279" s="6" t="s">
        <v>8</v>
      </c>
      <c r="CB279" s="6" t="s">
        <v>8</v>
      </c>
      <c r="CE279" s="6" t="s">
        <v>8</v>
      </c>
      <c r="CH279" s="6" t="s">
        <v>8</v>
      </c>
      <c r="CJ279" s="6" t="s">
        <v>8</v>
      </c>
      <c r="CL279" s="6" t="s">
        <v>8</v>
      </c>
      <c r="CN279" s="6" t="s">
        <v>8</v>
      </c>
      <c r="DB279" s="6" t="s">
        <v>8</v>
      </c>
    </row>
    <row r="280" spans="1:119" s="6" customFormat="1">
      <c r="A280" t="str">
        <f>HYPERLINK(".\links\pep\TI-318-pep.txt","TI-318")</f>
        <v>TI-318</v>
      </c>
      <c r="B280">
        <v>318</v>
      </c>
      <c r="C280" t="s">
        <v>27</v>
      </c>
      <c r="D280">
        <v>136</v>
      </c>
      <c r="E280">
        <v>0</v>
      </c>
      <c r="F280" t="str">
        <f>HYPERLINK(".\links\cds\TI-318-cds.txt","TI-318")</f>
        <v>TI-318</v>
      </c>
      <c r="G280">
        <v>411</v>
      </c>
      <c r="H280"/>
      <c r="I280" t="s">
        <v>8</v>
      </c>
      <c r="J280" t="s">
        <v>6</v>
      </c>
      <c r="K280">
        <v>1</v>
      </c>
      <c r="L280">
        <v>0</v>
      </c>
      <c r="M280">
        <f t="shared" si="5"/>
        <v>1</v>
      </c>
      <c r="N280" t="s">
        <v>1316</v>
      </c>
      <c r="O280" t="s">
        <v>1208</v>
      </c>
      <c r="P280" t="str">
        <f>HYPERLINK(".\links\GO\TI-318-GO.txt","GO")</f>
        <v>GO</v>
      </c>
      <c r="Q280" s="3">
        <v>4.9999999999999996E-25</v>
      </c>
      <c r="R280">
        <v>101.4</v>
      </c>
      <c r="S280" t="str">
        <f>HYPERLINK(".\links\NR-LIGHT\TI-318-NR-LIGHT.txt","lysozyme")</f>
        <v>lysozyme</v>
      </c>
      <c r="T280" t="str">
        <f>HYPERLINK("http://www.ncbi.nlm.nih.gov/sutils/blink.cgi?pid=32454476","1E-069")</f>
        <v>1E-069</v>
      </c>
      <c r="U280" t="str">
        <f>HYPERLINK("http://www.ncbi.nlm.nih.gov/protein/32454476","gi|32454476")</f>
        <v>gi|32454476</v>
      </c>
      <c r="V280">
        <v>263</v>
      </c>
      <c r="W280">
        <v>125</v>
      </c>
      <c r="X280">
        <v>139</v>
      </c>
      <c r="Y280">
        <v>99</v>
      </c>
      <c r="Z280">
        <v>91</v>
      </c>
      <c r="AA280">
        <v>1</v>
      </c>
      <c r="AB280">
        <v>0</v>
      </c>
      <c r="AC280">
        <v>14</v>
      </c>
      <c r="AD280">
        <v>11</v>
      </c>
      <c r="AE280">
        <v>1</v>
      </c>
      <c r="AF280"/>
      <c r="AG280" t="s">
        <v>13</v>
      </c>
      <c r="AH280" t="s">
        <v>51</v>
      </c>
      <c r="AI280" t="s">
        <v>273</v>
      </c>
      <c r="AJ280" t="str">
        <f>HYPERLINK(".\links\SWISSP\TI-318-SWISSP.txt","Lysozyme c-1 OS=Anopheles gambiae GN=AGAP007347 PE=2 SV=2")</f>
        <v>Lysozyme c-1 OS=Anopheles gambiae GN=AGAP007347 PE=2 SV=2</v>
      </c>
      <c r="AK280" t="str">
        <f>HYPERLINK("http://www.uniprot.org/uniprot/Q17005","4E-033")</f>
        <v>4E-033</v>
      </c>
      <c r="AL280" t="s">
        <v>168</v>
      </c>
      <c r="AM280">
        <v>139</v>
      </c>
      <c r="AN280">
        <v>133</v>
      </c>
      <c r="AO280">
        <v>140</v>
      </c>
      <c r="AP280">
        <v>47</v>
      </c>
      <c r="AQ280">
        <v>96</v>
      </c>
      <c r="AR280">
        <v>71</v>
      </c>
      <c r="AS280">
        <v>1</v>
      </c>
      <c r="AT280">
        <v>7</v>
      </c>
      <c r="AU280">
        <v>2</v>
      </c>
      <c r="AV280">
        <v>1</v>
      </c>
      <c r="AW280" t="s">
        <v>110</v>
      </c>
      <c r="AX280" t="str">
        <f>HYPERLINK(".\links\PREV-RHOD-PEP\TI-318-PREV-RHOD-PEP.txt","Contig17801_61")</f>
        <v>Contig17801_61</v>
      </c>
      <c r="AY280" s="3">
        <v>8.0000000000000003E-62</v>
      </c>
      <c r="AZ280" t="s">
        <v>1083</v>
      </c>
      <c r="BA280">
        <v>231</v>
      </c>
      <c r="BB280">
        <v>671</v>
      </c>
      <c r="BC280">
        <v>687</v>
      </c>
      <c r="BD280">
        <v>75</v>
      </c>
      <c r="BE280">
        <v>98</v>
      </c>
      <c r="BF280">
        <v>34</v>
      </c>
      <c r="BG280">
        <v>0</v>
      </c>
      <c r="BH280">
        <v>16</v>
      </c>
      <c r="BI280">
        <v>1</v>
      </c>
      <c r="BJ280">
        <v>2</v>
      </c>
      <c r="BK280" t="s">
        <v>717</v>
      </c>
      <c r="BL280">
        <f>HYPERLINK(".\links\GO\TI-318-GO.txt",2E-30)</f>
        <v>2.0000000000000002E-30</v>
      </c>
      <c r="BM280" t="s">
        <v>718</v>
      </c>
      <c r="BN280" t="s">
        <v>345</v>
      </c>
      <c r="BO280" t="s">
        <v>349</v>
      </c>
      <c r="BP280" t="s">
        <v>719</v>
      </c>
      <c r="BQ280" s="3">
        <v>1E-22</v>
      </c>
      <c r="BR280" t="s">
        <v>8</v>
      </c>
      <c r="BS280" t="s">
        <v>8</v>
      </c>
      <c r="BT280" t="s">
        <v>8</v>
      </c>
      <c r="BU280" t="s">
        <v>8</v>
      </c>
      <c r="BV280" t="s">
        <v>8</v>
      </c>
      <c r="BW280" t="s">
        <v>8</v>
      </c>
      <c r="BX280" t="s">
        <v>8</v>
      </c>
      <c r="BY280" t="s">
        <v>8</v>
      </c>
      <c r="BZ280" t="s">
        <v>8</v>
      </c>
      <c r="CA280" t="s">
        <v>8</v>
      </c>
      <c r="CB280" t="s">
        <v>8</v>
      </c>
      <c r="CC280"/>
      <c r="CD280"/>
      <c r="CE280" t="s">
        <v>8</v>
      </c>
      <c r="CF280"/>
      <c r="CG280"/>
      <c r="CH280" t="s">
        <v>8</v>
      </c>
      <c r="CI280"/>
      <c r="CJ280" t="s">
        <v>8</v>
      </c>
      <c r="CK280"/>
      <c r="CL280" t="s">
        <v>8</v>
      </c>
      <c r="CM280"/>
      <c r="CN280" t="s">
        <v>8</v>
      </c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 t="s">
        <v>8</v>
      </c>
      <c r="DC280"/>
      <c r="DD280"/>
      <c r="DE280"/>
      <c r="DF280"/>
      <c r="DG280"/>
      <c r="DH280"/>
      <c r="DI280"/>
      <c r="DJ280"/>
      <c r="DK280"/>
      <c r="DL280"/>
      <c r="DM280"/>
      <c r="DN280"/>
      <c r="DO280"/>
    </row>
    <row r="281" spans="1:119" s="6" customFormat="1">
      <c r="A281" t="str">
        <f>HYPERLINK(".\links\pep\TI-317-pep.txt","TI-317")</f>
        <v>TI-317</v>
      </c>
      <c r="B281">
        <v>317</v>
      </c>
      <c r="C281" t="s">
        <v>10</v>
      </c>
      <c r="D281">
        <v>136</v>
      </c>
      <c r="E281">
        <v>0</v>
      </c>
      <c r="F281" t="str">
        <f>HYPERLINK(".\links\cds\TI-317-cds.txt","TI-317")</f>
        <v>TI-317</v>
      </c>
      <c r="G281">
        <v>411</v>
      </c>
      <c r="H281"/>
      <c r="I281" t="s">
        <v>8</v>
      </c>
      <c r="J281" t="s">
        <v>6</v>
      </c>
      <c r="K281">
        <v>1</v>
      </c>
      <c r="L281">
        <v>0</v>
      </c>
      <c r="M281">
        <f t="shared" si="5"/>
        <v>1</v>
      </c>
      <c r="N281" t="s">
        <v>1270</v>
      </c>
      <c r="O281" t="s">
        <v>1178</v>
      </c>
      <c r="P281" t="str">
        <f>HYPERLINK(".\links\NR-LIGHT\TI-317-NR-LIGHT.txt","NR-LIGHT")</f>
        <v>NR-LIGHT</v>
      </c>
      <c r="Q281" s="3">
        <v>7.0000000000000004E-46</v>
      </c>
      <c r="R281">
        <v>22.6</v>
      </c>
      <c r="S281" t="str">
        <f>HYPERLINK(".\links\NR-LIGHT\TI-317-NR-LIGHT.txt","NADH dehydrogenase subunit 5")</f>
        <v>NADH dehydrogenase subunit 5</v>
      </c>
      <c r="T281" t="str">
        <f>HYPERLINK("http://www.ncbi.nlm.nih.gov/sutils/blink.cgi?pid=11182469","7E-046")</f>
        <v>7E-046</v>
      </c>
      <c r="U281" t="str">
        <f>HYPERLINK("http://www.ncbi.nlm.nih.gov/protein/11182469","gi|11182469")</f>
        <v>gi|11182469</v>
      </c>
      <c r="V281">
        <v>184</v>
      </c>
      <c r="W281">
        <v>128</v>
      </c>
      <c r="X281">
        <v>570</v>
      </c>
      <c r="Y281">
        <v>74</v>
      </c>
      <c r="Z281">
        <v>23</v>
      </c>
      <c r="AA281">
        <v>33</v>
      </c>
      <c r="AB281">
        <v>0</v>
      </c>
      <c r="AC281">
        <v>32</v>
      </c>
      <c r="AD281">
        <v>8</v>
      </c>
      <c r="AE281">
        <v>1</v>
      </c>
      <c r="AF281"/>
      <c r="AG281" t="s">
        <v>13</v>
      </c>
      <c r="AH281" t="s">
        <v>51</v>
      </c>
      <c r="AI281" t="s">
        <v>272</v>
      </c>
      <c r="AJ281" t="str">
        <f>HYPERLINK(".\links\SWISSP\TI-317-SWISSP.txt","NADH-ubiquinone oxidoreductase chain 5 OS=Aedes aegypti GN=mt:ND5 PE=3 SV=1")</f>
        <v>NADH-ubiquinone oxidoreductase chain 5 OS=Aedes aegypti GN=mt:ND5 PE=3 SV=1</v>
      </c>
      <c r="AK281" t="str">
        <f>HYPERLINK("http://www.uniprot.org/uniprot/B0FWD3","4E-038")</f>
        <v>4E-038</v>
      </c>
      <c r="AL281" t="s">
        <v>192</v>
      </c>
      <c r="AM281">
        <v>156</v>
      </c>
      <c r="AN281">
        <v>127</v>
      </c>
      <c r="AO281">
        <v>580</v>
      </c>
      <c r="AP281">
        <v>60</v>
      </c>
      <c r="AQ281">
        <v>22</v>
      </c>
      <c r="AR281">
        <v>51</v>
      </c>
      <c r="AS281">
        <v>0</v>
      </c>
      <c r="AT281">
        <v>33</v>
      </c>
      <c r="AU281">
        <v>9</v>
      </c>
      <c r="AV281">
        <v>1</v>
      </c>
      <c r="AW281" t="s">
        <v>76</v>
      </c>
      <c r="AX281" t="str">
        <f>HYPERLINK(".\links\PREV-RHOD-PEP\TI-317-PREV-RHOD-PEP.txt","Contig8174_1")</f>
        <v>Contig8174_1</v>
      </c>
      <c r="AY281" s="3">
        <v>9.9999999999999995E-7</v>
      </c>
      <c r="AZ281" t="s">
        <v>1109</v>
      </c>
      <c r="BA281">
        <v>48.1</v>
      </c>
      <c r="BB281">
        <v>26</v>
      </c>
      <c r="BC281">
        <v>159</v>
      </c>
      <c r="BD281">
        <v>81</v>
      </c>
      <c r="BE281">
        <v>17</v>
      </c>
      <c r="BF281">
        <v>5</v>
      </c>
      <c r="BG281">
        <v>0</v>
      </c>
      <c r="BH281">
        <v>1</v>
      </c>
      <c r="BI281">
        <v>110</v>
      </c>
      <c r="BJ281">
        <v>1</v>
      </c>
      <c r="BK281" t="s">
        <v>615</v>
      </c>
      <c r="BL281">
        <f>HYPERLINK(".\links\GO\TI-317-GO.txt",1E-37)</f>
        <v>1.0000000000000001E-37</v>
      </c>
      <c r="BM281" t="s">
        <v>373</v>
      </c>
      <c r="BN281" t="s">
        <v>373</v>
      </c>
      <c r="BO281"/>
      <c r="BP281" t="s">
        <v>374</v>
      </c>
      <c r="BQ281">
        <v>1E-8</v>
      </c>
      <c r="BR281" t="s">
        <v>616</v>
      </c>
      <c r="BS281" t="s">
        <v>323</v>
      </c>
      <c r="BT281" t="s">
        <v>390</v>
      </c>
      <c r="BU281" t="s">
        <v>617</v>
      </c>
      <c r="BV281">
        <v>1E-8</v>
      </c>
      <c r="BW281" t="s">
        <v>618</v>
      </c>
      <c r="BX281" t="s">
        <v>373</v>
      </c>
      <c r="BY281"/>
      <c r="BZ281" t="s">
        <v>619</v>
      </c>
      <c r="CA281">
        <v>1E-8</v>
      </c>
      <c r="CB281" t="s">
        <v>8</v>
      </c>
      <c r="CC281"/>
      <c r="CD281"/>
      <c r="CE281" t="s">
        <v>8</v>
      </c>
      <c r="CF281"/>
      <c r="CG281"/>
      <c r="CH281" t="s">
        <v>8</v>
      </c>
      <c r="CI281"/>
      <c r="CJ281" t="s">
        <v>8</v>
      </c>
      <c r="CK281"/>
      <c r="CL281" t="s">
        <v>8</v>
      </c>
      <c r="CM281"/>
      <c r="CN281" t="str">
        <f>HYPERLINK(".\links\MIT-PLA\TI-317-MIT-PLA.txt","Drosophila silvestris clone sv3E-C02 NADH dehydrogenase 5 (ND5) mRNA, partial")</f>
        <v>Drosophila silvestris clone sv3E-C02 NADH dehydrogenase 5 (ND5) mRNA, partial</v>
      </c>
      <c r="CO281" t="str">
        <f>HYPERLINK("http://www.ncbi.nlm.nih.gov/entrez/viewer.fcgi?db=nucleotide&amp;val=164430957","6E-014")</f>
        <v>6E-014</v>
      </c>
      <c r="CP281" t="str">
        <f>HYPERLINK("http://www.ncbi.nlm.nih.gov/entrez/viewer.fcgi?db=nucleotide&amp;val=164430957","gi|164430957")</f>
        <v>gi|164430957</v>
      </c>
      <c r="CQ281">
        <v>73.8</v>
      </c>
      <c r="CR281">
        <v>100</v>
      </c>
      <c r="CS281">
        <v>642</v>
      </c>
      <c r="CT281">
        <v>84</v>
      </c>
      <c r="CU281">
        <v>16</v>
      </c>
      <c r="CV281">
        <v>16</v>
      </c>
      <c r="CW281">
        <v>0</v>
      </c>
      <c r="CX281">
        <v>136</v>
      </c>
      <c r="CY281">
        <v>242</v>
      </c>
      <c r="CZ281">
        <v>1</v>
      </c>
      <c r="DA281" t="s">
        <v>51</v>
      </c>
      <c r="DB281" t="s">
        <v>8</v>
      </c>
      <c r="DC281"/>
      <c r="DD281"/>
      <c r="DE281"/>
      <c r="DF281"/>
      <c r="DG281"/>
      <c r="DH281"/>
      <c r="DI281"/>
      <c r="DJ281"/>
      <c r="DK281"/>
      <c r="DL281"/>
      <c r="DM281"/>
      <c r="DN281"/>
      <c r="DO281"/>
    </row>
    <row r="282" spans="1:119" s="6" customFormat="1">
      <c r="A282" t="str">
        <f>HYPERLINK(".\links\pep\TI-316-pep.txt","TI-316")</f>
        <v>TI-316</v>
      </c>
      <c r="B282">
        <v>316</v>
      </c>
      <c r="C282" t="s">
        <v>11</v>
      </c>
      <c r="D282">
        <v>68</v>
      </c>
      <c r="E282">
        <v>0</v>
      </c>
      <c r="F282" t="str">
        <f>HYPERLINK(".\links\cds\TI-316-cds.txt","TI-316")</f>
        <v>TI-316</v>
      </c>
      <c r="G282">
        <v>203</v>
      </c>
      <c r="H282"/>
      <c r="I282" t="s">
        <v>8</v>
      </c>
      <c r="J282" t="s">
        <v>8</v>
      </c>
      <c r="K282">
        <v>1</v>
      </c>
      <c r="L282">
        <v>0</v>
      </c>
      <c r="M282">
        <f t="shared" si="5"/>
        <v>1</v>
      </c>
      <c r="N282" t="s">
        <v>1315</v>
      </c>
      <c r="O282" t="s">
        <v>1178</v>
      </c>
      <c r="P282" t="str">
        <f>HYPERLINK(".\links\NR-LIGHT\TI-316-NR-LIGHT.txt","NR-LIGHT")</f>
        <v>NR-LIGHT</v>
      </c>
      <c r="Q282">
        <v>2.0000000000000001E-13</v>
      </c>
      <c r="R282">
        <v>15.3</v>
      </c>
      <c r="S282" t="str">
        <f>HYPERLINK(".\links\NR-LIGHT\TI-316-NR-LIGHT.txt","NADH dehydrogenase subunit 4")</f>
        <v>NADH dehydrogenase subunit 4</v>
      </c>
      <c r="T282" t="str">
        <f>HYPERLINK("http://www.ncbi.nlm.nih.gov/sutils/blink.cgi?pid=11182470","2E-013")</f>
        <v>2E-013</v>
      </c>
      <c r="U282" t="str">
        <f>HYPERLINK("http://www.ncbi.nlm.nih.gov/protein/11182470","gi|11182470")</f>
        <v>gi|11182470</v>
      </c>
      <c r="V282">
        <v>76.599999999999994</v>
      </c>
      <c r="W282">
        <v>67</v>
      </c>
      <c r="X282">
        <v>443</v>
      </c>
      <c r="Y282">
        <v>58</v>
      </c>
      <c r="Z282">
        <v>15</v>
      </c>
      <c r="AA282">
        <v>28</v>
      </c>
      <c r="AB282">
        <v>0</v>
      </c>
      <c r="AC282">
        <v>201</v>
      </c>
      <c r="AD282">
        <v>1</v>
      </c>
      <c r="AE282">
        <v>1</v>
      </c>
      <c r="AF282"/>
      <c r="AG282" t="s">
        <v>13</v>
      </c>
      <c r="AH282" t="s">
        <v>51</v>
      </c>
      <c r="AI282" t="s">
        <v>272</v>
      </c>
      <c r="AJ282" t="str">
        <f>HYPERLINK(".\links\SWISSP\TI-316-SWISSP.txt","NADH-ubiquinone oxidoreductase chain 4 OS=Rhipicephalus sanguineus GN=ND4 PE=3")</f>
        <v>NADH-ubiquinone oxidoreductase chain 4 OS=Rhipicephalus sanguineus GN=ND4 PE=3</v>
      </c>
      <c r="AK282" t="str">
        <f>HYPERLINK("http://www.uniprot.org/uniprot/O99825","8E-007")</f>
        <v>8E-007</v>
      </c>
      <c r="AL282" t="s">
        <v>191</v>
      </c>
      <c r="AM282">
        <v>52.4</v>
      </c>
      <c r="AN282">
        <v>67</v>
      </c>
      <c r="AO282">
        <v>433</v>
      </c>
      <c r="AP282">
        <v>41</v>
      </c>
      <c r="AQ282">
        <v>16</v>
      </c>
      <c r="AR282">
        <v>40</v>
      </c>
      <c r="AS282">
        <v>0</v>
      </c>
      <c r="AT282">
        <v>193</v>
      </c>
      <c r="AU282">
        <v>1</v>
      </c>
      <c r="AV282">
        <v>1</v>
      </c>
      <c r="AW282" t="s">
        <v>187</v>
      </c>
      <c r="AX282" t="str">
        <f>HYPERLINK(".\links\PREV-RHOD-PEP\TI-316-PREV-RHOD-PEP.txt","Contig7881_1")</f>
        <v>Contig7881_1</v>
      </c>
      <c r="AY282" s="3">
        <v>1E-8</v>
      </c>
      <c r="AZ282" t="s">
        <v>1108</v>
      </c>
      <c r="BA282">
        <v>54.7</v>
      </c>
      <c r="BB282">
        <v>64</v>
      </c>
      <c r="BC282">
        <v>268</v>
      </c>
      <c r="BD282">
        <v>46</v>
      </c>
      <c r="BE282">
        <v>24</v>
      </c>
      <c r="BF282">
        <v>35</v>
      </c>
      <c r="BG282">
        <v>0</v>
      </c>
      <c r="BH282">
        <v>73</v>
      </c>
      <c r="BI282">
        <v>4</v>
      </c>
      <c r="BJ282">
        <v>1</v>
      </c>
      <c r="BK282" t="s">
        <v>798</v>
      </c>
      <c r="BL282">
        <f>HYPERLINK(".\links\GO\TI-316-GO.txt",0.000006)</f>
        <v>6.0000000000000002E-6</v>
      </c>
      <c r="BM282" t="s">
        <v>373</v>
      </c>
      <c r="BN282" t="s">
        <v>373</v>
      </c>
      <c r="BO282"/>
      <c r="BP282" t="s">
        <v>374</v>
      </c>
      <c r="BQ282">
        <v>5.0000000000000002E-5</v>
      </c>
      <c r="BR282" t="s">
        <v>375</v>
      </c>
      <c r="BS282" t="s">
        <v>375</v>
      </c>
      <c r="BT282"/>
      <c r="BU282" t="s">
        <v>376</v>
      </c>
      <c r="BV282">
        <v>5.0000000000000002E-5</v>
      </c>
      <c r="BW282" t="s">
        <v>618</v>
      </c>
      <c r="BX282" t="s">
        <v>373</v>
      </c>
      <c r="BY282"/>
      <c r="BZ282" t="s">
        <v>619</v>
      </c>
      <c r="CA282">
        <v>5.0000000000000002E-5</v>
      </c>
      <c r="CB282" t="s">
        <v>8</v>
      </c>
      <c r="CC282"/>
      <c r="CD282"/>
      <c r="CE282" t="s">
        <v>8</v>
      </c>
      <c r="CF282"/>
      <c r="CG282"/>
      <c r="CH282" t="s">
        <v>8</v>
      </c>
      <c r="CI282"/>
      <c r="CJ282" t="s">
        <v>8</v>
      </c>
      <c r="CK282"/>
      <c r="CL282" t="s">
        <v>8</v>
      </c>
      <c r="CM282"/>
      <c r="CN282" t="s">
        <v>8</v>
      </c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 t="s">
        <v>8</v>
      </c>
      <c r="DC282"/>
      <c r="DD282"/>
      <c r="DE282"/>
      <c r="DF282"/>
      <c r="DG282"/>
      <c r="DH282"/>
      <c r="DI282"/>
      <c r="DJ282"/>
      <c r="DK282"/>
      <c r="DL282"/>
      <c r="DM282"/>
      <c r="DN282"/>
      <c r="DO282"/>
    </row>
    <row r="283" spans="1:119" s="6" customFormat="1">
      <c r="A283" t="str">
        <f>HYPERLINK(".\links\pep\TI-314-pep.txt","TI-314")</f>
        <v>TI-314</v>
      </c>
      <c r="B283">
        <v>314</v>
      </c>
      <c r="C283" t="s">
        <v>7</v>
      </c>
      <c r="D283">
        <v>195</v>
      </c>
      <c r="E283">
        <v>0</v>
      </c>
      <c r="F283" t="str">
        <f>HYPERLINK(".\links\cds\TI-314-cds.txt","TI-314")</f>
        <v>TI-314</v>
      </c>
      <c r="G283">
        <v>584</v>
      </c>
      <c r="H283"/>
      <c r="I283" t="s">
        <v>29</v>
      </c>
      <c r="J283" t="s">
        <v>8</v>
      </c>
      <c r="K283">
        <v>1</v>
      </c>
      <c r="L283">
        <v>0</v>
      </c>
      <c r="M283">
        <f t="shared" si="5"/>
        <v>1</v>
      </c>
      <c r="N283" t="s">
        <v>1313</v>
      </c>
      <c r="O283" t="s">
        <v>1187</v>
      </c>
      <c r="P283" t="str">
        <f>HYPERLINK(".\links\NR-LIGHT\TI-314-NR-LIGHT.txt","NR-LIGHT")</f>
        <v>NR-LIGHT</v>
      </c>
      <c r="Q283" s="3">
        <v>1.9999999999999998E-24</v>
      </c>
      <c r="R283">
        <v>80</v>
      </c>
      <c r="S283" t="str">
        <f>HYPERLINK(".\links\NR-LIGHT\TI-314-NR-LIGHT.txt","CD63 antigen-like isoform 2")</f>
        <v>CD63 antigen-like isoform 2</v>
      </c>
      <c r="T283" t="str">
        <f>HYPERLINK("http://www.ncbi.nlm.nih.gov/sutils/blink.cgi?pid=328704941","2E-029")</f>
        <v>2E-029</v>
      </c>
      <c r="U283" t="str">
        <f>HYPERLINK("http://www.ncbi.nlm.nih.gov/protein/328704941","gi|328704941")</f>
        <v>gi|328704941</v>
      </c>
      <c r="V283">
        <v>130</v>
      </c>
      <c r="W283">
        <v>138</v>
      </c>
      <c r="X283">
        <v>239</v>
      </c>
      <c r="Y283">
        <v>46</v>
      </c>
      <c r="Z283">
        <v>58</v>
      </c>
      <c r="AA283">
        <v>75</v>
      </c>
      <c r="AB283">
        <v>5</v>
      </c>
      <c r="AC283">
        <v>66</v>
      </c>
      <c r="AD283">
        <v>62</v>
      </c>
      <c r="AE283">
        <v>1</v>
      </c>
      <c r="AF283"/>
      <c r="AG283" t="s">
        <v>13</v>
      </c>
      <c r="AH283" t="s">
        <v>51</v>
      </c>
      <c r="AI283" t="s">
        <v>264</v>
      </c>
      <c r="AJ283" t="str">
        <f>HYPERLINK(".\links\SWISSP\TI-314-SWISSP.txt","CD63 antigen OS=Felis catus GN=CD63 PE=2 SV=3")</f>
        <v>CD63 antigen OS=Felis catus GN=CD63 PE=2 SV=3</v>
      </c>
      <c r="AK283" t="str">
        <f>HYPERLINK("http://www.uniprot.org/uniprot/Q76B49","1E-018")</f>
        <v>1E-018</v>
      </c>
      <c r="AL283" t="s">
        <v>188</v>
      </c>
      <c r="AM283">
        <v>92.8</v>
      </c>
      <c r="AN283">
        <v>192</v>
      </c>
      <c r="AO283">
        <v>238</v>
      </c>
      <c r="AP283">
        <v>31</v>
      </c>
      <c r="AQ283">
        <v>81</v>
      </c>
      <c r="AR283">
        <v>138</v>
      </c>
      <c r="AS283">
        <v>23</v>
      </c>
      <c r="AT283">
        <v>10</v>
      </c>
      <c r="AU283">
        <v>8</v>
      </c>
      <c r="AV283">
        <v>1</v>
      </c>
      <c r="AW283" t="s">
        <v>189</v>
      </c>
      <c r="AX283" t="str">
        <f>HYPERLINK(".\links\PREV-RHOD-PEP\TI-314-PREV-RHOD-PEP.txt","Contig17398_11")</f>
        <v>Contig17398_11</v>
      </c>
      <c r="AY283" s="3">
        <v>6.0000000000000001E-43</v>
      </c>
      <c r="AZ283" t="s">
        <v>1106</v>
      </c>
      <c r="BA283">
        <v>169</v>
      </c>
      <c r="BB283">
        <v>172</v>
      </c>
      <c r="BC283">
        <v>212</v>
      </c>
      <c r="BD283">
        <v>50</v>
      </c>
      <c r="BE283">
        <v>82</v>
      </c>
      <c r="BF283">
        <v>88</v>
      </c>
      <c r="BG283">
        <v>4</v>
      </c>
      <c r="BH283">
        <v>12</v>
      </c>
      <c r="BI283">
        <v>21</v>
      </c>
      <c r="BJ283">
        <v>1</v>
      </c>
      <c r="BK283" t="s">
        <v>790</v>
      </c>
      <c r="BL283">
        <f>HYPERLINK(".\links\GO\TI-314-GO.txt",4E-20)</f>
        <v>3.9999999999999998E-20</v>
      </c>
      <c r="BM283" t="s">
        <v>8</v>
      </c>
      <c r="BN283" t="s">
        <v>8</v>
      </c>
      <c r="BO283" t="s">
        <v>8</v>
      </c>
      <c r="BP283" t="s">
        <v>8</v>
      </c>
      <c r="BQ283" t="s">
        <v>8</v>
      </c>
      <c r="BR283" t="s">
        <v>322</v>
      </c>
      <c r="BS283" t="s">
        <v>323</v>
      </c>
      <c r="BT283" t="s">
        <v>324</v>
      </c>
      <c r="BU283" t="s">
        <v>325</v>
      </c>
      <c r="BV283">
        <v>8E-14</v>
      </c>
      <c r="BW283" t="s">
        <v>8</v>
      </c>
      <c r="BX283" t="s">
        <v>8</v>
      </c>
      <c r="BY283" t="s">
        <v>8</v>
      </c>
      <c r="BZ283" t="s">
        <v>8</v>
      </c>
      <c r="CA283" t="s">
        <v>8</v>
      </c>
      <c r="CB283" t="s">
        <v>8</v>
      </c>
      <c r="CC283"/>
      <c r="CD283"/>
      <c r="CE283" t="s">
        <v>8</v>
      </c>
      <c r="CF283"/>
      <c r="CG283"/>
      <c r="CH283" t="s">
        <v>8</v>
      </c>
      <c r="CI283"/>
      <c r="CJ283" t="s">
        <v>8</v>
      </c>
      <c r="CK283"/>
      <c r="CL283" t="s">
        <v>8</v>
      </c>
      <c r="CM283"/>
      <c r="CN283" t="s">
        <v>8</v>
      </c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 t="s">
        <v>8</v>
      </c>
      <c r="DC283"/>
      <c r="DD283"/>
      <c r="DE283"/>
      <c r="DF283"/>
      <c r="DG283"/>
      <c r="DH283"/>
      <c r="DI283"/>
      <c r="DJ283"/>
      <c r="DK283"/>
      <c r="DL283"/>
      <c r="DM283"/>
      <c r="DN283"/>
      <c r="DO283"/>
    </row>
    <row r="284" spans="1:119" s="6" customFormat="1">
      <c r="A284" t="str">
        <f>HYPERLINK(".\links\pep\TI-312-pep.txt","TI-312")</f>
        <v>TI-312</v>
      </c>
      <c r="B284">
        <v>312</v>
      </c>
      <c r="C284" t="s">
        <v>16</v>
      </c>
      <c r="D284">
        <v>60</v>
      </c>
      <c r="E284">
        <v>0</v>
      </c>
      <c r="F284" t="str">
        <f>HYPERLINK(".\links\cds\TI-312-cds.txt","TI-312")</f>
        <v>TI-312</v>
      </c>
      <c r="G284">
        <v>183</v>
      </c>
      <c r="H284"/>
      <c r="I284" t="s">
        <v>8</v>
      </c>
      <c r="J284" t="s">
        <v>6</v>
      </c>
      <c r="K284">
        <v>1</v>
      </c>
      <c r="L284">
        <v>0</v>
      </c>
      <c r="M284">
        <f t="shared" si="5"/>
        <v>1</v>
      </c>
      <c r="N284" t="s">
        <v>1312</v>
      </c>
      <c r="O284" t="s">
        <v>1185</v>
      </c>
      <c r="P284" t="str">
        <f>HYPERLINK(".\links\SWISSP\TI-312-SWISSP.txt","SWISSP")</f>
        <v>SWISSP</v>
      </c>
      <c r="Q284">
        <v>5.9999999999999995E-8</v>
      </c>
      <c r="R284">
        <v>26.6</v>
      </c>
      <c r="S284" t="str">
        <f>HYPERLINK(".\links\NR-LIGHT\TI-312-NR-LIGHT.txt","cytochrome c oxidase subunit II")</f>
        <v>cytochrome c oxidase subunit II</v>
      </c>
      <c r="T284" t="str">
        <f>HYPERLINK("http://www.ncbi.nlm.nih.gov/sutils/blink.cgi?pid=49619215","3E-007")</f>
        <v>3E-007</v>
      </c>
      <c r="U284" t="str">
        <f>HYPERLINK("http://www.ncbi.nlm.nih.gov/protein/49619215","gi|49619215")</f>
        <v>gi|49619215</v>
      </c>
      <c r="V284">
        <v>56.2</v>
      </c>
      <c r="W284">
        <v>59</v>
      </c>
      <c r="X284">
        <v>224</v>
      </c>
      <c r="Y284">
        <v>50</v>
      </c>
      <c r="Z284">
        <v>27</v>
      </c>
      <c r="AA284">
        <v>30</v>
      </c>
      <c r="AB284">
        <v>0</v>
      </c>
      <c r="AC284">
        <v>5</v>
      </c>
      <c r="AD284">
        <v>1</v>
      </c>
      <c r="AE284">
        <v>1</v>
      </c>
      <c r="AF284"/>
      <c r="AG284" t="s">
        <v>13</v>
      </c>
      <c r="AH284" t="s">
        <v>51</v>
      </c>
      <c r="AI284" t="s">
        <v>293</v>
      </c>
      <c r="AJ284" t="str">
        <f>HYPERLINK(".\links\SWISSP\TI-312-SWISSP.txt","Cytochrome c oxidase subunit 2 OS=Rhipicephalus sanguineus GN=COII PE=3 SV=1")</f>
        <v>Cytochrome c oxidase subunit 2 OS=Rhipicephalus sanguineus GN=COII PE=3 SV=1</v>
      </c>
      <c r="AK284" t="str">
        <f>HYPERLINK("http://www.uniprot.org/uniprot/O99819","6E-008")</f>
        <v>6E-008</v>
      </c>
      <c r="AL284" t="s">
        <v>186</v>
      </c>
      <c r="AM284">
        <v>55.8</v>
      </c>
      <c r="AN284">
        <v>59</v>
      </c>
      <c r="AO284">
        <v>225</v>
      </c>
      <c r="AP284">
        <v>48</v>
      </c>
      <c r="AQ284">
        <v>27</v>
      </c>
      <c r="AR284">
        <v>31</v>
      </c>
      <c r="AS284">
        <v>0</v>
      </c>
      <c r="AT284">
        <v>5</v>
      </c>
      <c r="AU284">
        <v>1</v>
      </c>
      <c r="AV284">
        <v>1</v>
      </c>
      <c r="AW284" t="s">
        <v>187</v>
      </c>
      <c r="AX284" t="s">
        <v>8</v>
      </c>
      <c r="AY284"/>
      <c r="AZ284"/>
      <c r="BA284"/>
      <c r="BB284"/>
      <c r="BC284"/>
      <c r="BD284"/>
      <c r="BE284"/>
      <c r="BF284"/>
      <c r="BG284"/>
      <c r="BH284"/>
      <c r="BI284"/>
      <c r="BJ284"/>
      <c r="BK284" t="s">
        <v>8</v>
      </c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 t="s">
        <v>8</v>
      </c>
      <c r="CC284"/>
      <c r="CD284"/>
      <c r="CE284" t="s">
        <v>8</v>
      </c>
      <c r="CF284"/>
      <c r="CG284"/>
      <c r="CH284" t="s">
        <v>8</v>
      </c>
      <c r="CI284"/>
      <c r="CJ284" t="s">
        <v>8</v>
      </c>
      <c r="CK284"/>
      <c r="CL284" t="s">
        <v>8</v>
      </c>
      <c r="CM284"/>
      <c r="CN284" t="str">
        <f>HYPERLINK(".\links\MIT-PLA\TI-312-MIT-PLA.txt","Amblyomma americanum cytochrome oxidase subunit 2 (cox2) mRNA, partial cds;")</f>
        <v>Amblyomma americanum cytochrome oxidase subunit 2 (cox2) mRNA, partial cds;</v>
      </c>
      <c r="CO284" t="str">
        <f>HYPERLINK("http://www.ncbi.nlm.nih.gov/entrez/viewer.fcgi?db=nucleotide&amp;val=75372337","6E-009")</f>
        <v>6E-009</v>
      </c>
      <c r="CP284" t="str">
        <f>HYPERLINK("http://www.ncbi.nlm.nih.gov/entrez/viewer.fcgi?db=nucleotide&amp;val=75372337","gi|75372337")</f>
        <v>gi|75372337</v>
      </c>
      <c r="CQ284">
        <v>56</v>
      </c>
      <c r="CR284">
        <v>31</v>
      </c>
      <c r="CS284">
        <v>705</v>
      </c>
      <c r="CT284">
        <v>96</v>
      </c>
      <c r="CU284">
        <v>5</v>
      </c>
      <c r="CV284">
        <v>1</v>
      </c>
      <c r="CW284">
        <v>0</v>
      </c>
      <c r="CX284">
        <v>167</v>
      </c>
      <c r="CY284">
        <v>152</v>
      </c>
      <c r="CZ284">
        <v>1</v>
      </c>
      <c r="DA284" t="s">
        <v>51</v>
      </c>
      <c r="DB284" t="s">
        <v>8</v>
      </c>
      <c r="DC284"/>
      <c r="DD284"/>
      <c r="DE284"/>
      <c r="DF284"/>
      <c r="DG284"/>
      <c r="DH284"/>
      <c r="DI284"/>
      <c r="DJ284"/>
      <c r="DK284"/>
      <c r="DL284"/>
      <c r="DM284"/>
      <c r="DN284"/>
      <c r="DO284"/>
    </row>
    <row r="285" spans="1:119" s="6" customFormat="1">
      <c r="A285" t="str">
        <f>HYPERLINK(".\links\pep\TI-311-pep.txt","TI-311")</f>
        <v>TI-311</v>
      </c>
      <c r="B285">
        <v>311</v>
      </c>
      <c r="C285" t="s">
        <v>7</v>
      </c>
      <c r="D285">
        <v>155</v>
      </c>
      <c r="E285">
        <v>0</v>
      </c>
      <c r="F285" t="str">
        <f>HYPERLINK(".\links\cds\TI-311-cds.txt","TI-311")</f>
        <v>TI-311</v>
      </c>
      <c r="G285">
        <v>463</v>
      </c>
      <c r="H285"/>
      <c r="I285" t="s">
        <v>29</v>
      </c>
      <c r="J285" t="s">
        <v>8</v>
      </c>
      <c r="K285">
        <v>1</v>
      </c>
      <c r="L285">
        <v>0</v>
      </c>
      <c r="M285">
        <f t="shared" si="5"/>
        <v>1</v>
      </c>
      <c r="N285" t="s">
        <v>1311</v>
      </c>
      <c r="O285" t="s">
        <v>1295</v>
      </c>
      <c r="P285" t="str">
        <f>HYPERLINK(".\links\GO\TI-311-GO.txt","GO")</f>
        <v>GO</v>
      </c>
      <c r="Q285" s="3">
        <v>3.0000000000000001E-71</v>
      </c>
      <c r="R285">
        <v>67.8</v>
      </c>
      <c r="S285" t="str">
        <f>HYPERLINK(".\links\NR-LIGHT\TI-311-NR-LIGHT.txt","cyclophilin-like protein")</f>
        <v>cyclophilin-like protein</v>
      </c>
      <c r="T285" t="str">
        <f>HYPERLINK("http://www.ncbi.nlm.nih.gov/sutils/blink.cgi?pid=157361501","2E-072")</f>
        <v>2E-072</v>
      </c>
      <c r="U285" t="str">
        <f>HYPERLINK("http://www.ncbi.nlm.nih.gov/protein/157361501","gi|157361501")</f>
        <v>gi|157361501</v>
      </c>
      <c r="V285">
        <v>273</v>
      </c>
      <c r="W285">
        <v>153</v>
      </c>
      <c r="X285">
        <v>165</v>
      </c>
      <c r="Y285">
        <v>84</v>
      </c>
      <c r="Z285">
        <v>93</v>
      </c>
      <c r="AA285">
        <v>24</v>
      </c>
      <c r="AB285">
        <v>1</v>
      </c>
      <c r="AC285">
        <v>1</v>
      </c>
      <c r="AD285">
        <v>1</v>
      </c>
      <c r="AE285">
        <v>1</v>
      </c>
      <c r="AF285"/>
      <c r="AG285" t="s">
        <v>13</v>
      </c>
      <c r="AH285" t="s">
        <v>51</v>
      </c>
      <c r="AI285" t="s">
        <v>292</v>
      </c>
      <c r="AJ285" t="str">
        <f>HYPERLINK(".\links\SWISSP\TI-311-SWISSP.txt","Peptidyl-prolyl cis-trans isomerase OS=Blattella germanica GN=CYPA PE=2 SV=1")</f>
        <v>Peptidyl-prolyl cis-trans isomerase OS=Blattella germanica GN=CYPA PE=2 SV=1</v>
      </c>
      <c r="AK285" t="str">
        <f>HYPERLINK("http://www.uniprot.org/uniprot/P54985","3E-073")</f>
        <v>3E-073</v>
      </c>
      <c r="AL285" t="s">
        <v>184</v>
      </c>
      <c r="AM285">
        <v>273</v>
      </c>
      <c r="AN285">
        <v>153</v>
      </c>
      <c r="AO285">
        <v>164</v>
      </c>
      <c r="AP285">
        <v>84</v>
      </c>
      <c r="AQ285">
        <v>94</v>
      </c>
      <c r="AR285">
        <v>24</v>
      </c>
      <c r="AS285">
        <v>1</v>
      </c>
      <c r="AT285">
        <v>1</v>
      </c>
      <c r="AU285">
        <v>1</v>
      </c>
      <c r="AV285">
        <v>1</v>
      </c>
      <c r="AW285" t="s">
        <v>185</v>
      </c>
      <c r="AX285" t="str">
        <f>HYPERLINK(".\links\PREV-RHOD-PEP\TI-311-PREV-RHOD-PEP.txt","Contig17847_100")</f>
        <v>Contig17847_100</v>
      </c>
      <c r="AY285" s="3">
        <v>9.9999999999999997E-73</v>
      </c>
      <c r="AZ285" t="s">
        <v>1105</v>
      </c>
      <c r="BA285">
        <v>267</v>
      </c>
      <c r="BB285">
        <v>162</v>
      </c>
      <c r="BC285">
        <v>173</v>
      </c>
      <c r="BD285">
        <v>79</v>
      </c>
      <c r="BE285">
        <v>94</v>
      </c>
      <c r="BF285">
        <v>35</v>
      </c>
      <c r="BG285">
        <v>24</v>
      </c>
      <c r="BH285">
        <v>1</v>
      </c>
      <c r="BI285">
        <v>1</v>
      </c>
      <c r="BJ285">
        <v>1</v>
      </c>
      <c r="BK285" t="s">
        <v>786</v>
      </c>
      <c r="BL285">
        <f>HYPERLINK(".\links\GO\TI-311-GO.txt",3E-71)</f>
        <v>3.0000000000000001E-71</v>
      </c>
      <c r="BM285" t="s">
        <v>787</v>
      </c>
      <c r="BN285" t="s">
        <v>345</v>
      </c>
      <c r="BO285" t="s">
        <v>788</v>
      </c>
      <c r="BP285" t="s">
        <v>789</v>
      </c>
      <c r="BQ285" s="3">
        <v>3.0000000000000001E-71</v>
      </c>
      <c r="BR285" t="s">
        <v>431</v>
      </c>
      <c r="BS285" t="s">
        <v>323</v>
      </c>
      <c r="BT285" t="s">
        <v>334</v>
      </c>
      <c r="BU285" t="s">
        <v>432</v>
      </c>
      <c r="BV285" s="3">
        <v>3.0000000000000001E-71</v>
      </c>
      <c r="BW285" t="s">
        <v>766</v>
      </c>
      <c r="BX285" t="s">
        <v>345</v>
      </c>
      <c r="BY285" t="s">
        <v>788</v>
      </c>
      <c r="BZ285" t="s">
        <v>767</v>
      </c>
      <c r="CA285" s="3">
        <v>3.0000000000000001E-71</v>
      </c>
      <c r="CB285" t="s">
        <v>8</v>
      </c>
      <c r="CC285"/>
      <c r="CD285"/>
      <c r="CE285" t="s">
        <v>8</v>
      </c>
      <c r="CF285"/>
      <c r="CG285"/>
      <c r="CH285" t="s">
        <v>8</v>
      </c>
      <c r="CI285"/>
      <c r="CJ285" t="s">
        <v>8</v>
      </c>
      <c r="CK285"/>
      <c r="CL285" t="s">
        <v>8</v>
      </c>
      <c r="CM285"/>
      <c r="CN285" t="s">
        <v>8</v>
      </c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 t="s">
        <v>8</v>
      </c>
      <c r="DC285"/>
      <c r="DD285"/>
      <c r="DE285"/>
      <c r="DF285"/>
      <c r="DG285"/>
      <c r="DH285"/>
      <c r="DI285"/>
      <c r="DJ285"/>
      <c r="DK285"/>
      <c r="DL285"/>
      <c r="DM285"/>
      <c r="DN285"/>
      <c r="DO285"/>
    </row>
    <row r="286" spans="1:119" s="6" customFormat="1">
      <c r="A286" s="6" t="str">
        <f>HYPERLINK(".\links\pep\TI-31-pep.txt","TI-31")</f>
        <v>TI-31</v>
      </c>
      <c r="B286" s="6">
        <v>31</v>
      </c>
      <c r="C286" s="6" t="s">
        <v>18</v>
      </c>
      <c r="D286" s="6">
        <v>41</v>
      </c>
      <c r="E286" s="6">
        <v>0</v>
      </c>
      <c r="F286" s="6" t="str">
        <f>HYPERLINK(".\links\cds\TI-31-cds.txt","TI-31")</f>
        <v>TI-31</v>
      </c>
      <c r="G286" s="6">
        <v>126</v>
      </c>
      <c r="I286" s="6" t="s">
        <v>8</v>
      </c>
      <c r="J286" s="6" t="s">
        <v>6</v>
      </c>
      <c r="K286" s="6">
        <v>1</v>
      </c>
      <c r="L286" s="6">
        <v>0</v>
      </c>
      <c r="M286" s="6">
        <f t="shared" si="5"/>
        <v>1</v>
      </c>
      <c r="N286" s="6" t="s">
        <v>1170</v>
      </c>
      <c r="O286" s="6" t="s">
        <v>1171</v>
      </c>
      <c r="S286" s="6" t="s">
        <v>8</v>
      </c>
      <c r="AJ286" s="6" t="s">
        <v>8</v>
      </c>
      <c r="AX286" s="6" t="s">
        <v>8</v>
      </c>
      <c r="BK286" s="6" t="s">
        <v>8</v>
      </c>
      <c r="CB286" s="6" t="s">
        <v>8</v>
      </c>
      <c r="CE286" s="6" t="s">
        <v>8</v>
      </c>
      <c r="CH286" s="6" t="s">
        <v>8</v>
      </c>
      <c r="CJ286" s="6" t="s">
        <v>8</v>
      </c>
      <c r="CL286" s="6" t="s">
        <v>8</v>
      </c>
      <c r="CN286" s="6" t="s">
        <v>8</v>
      </c>
      <c r="DB286" s="6" t="s">
        <v>8</v>
      </c>
    </row>
    <row r="287" spans="1:119" s="6" customFormat="1">
      <c r="A287" t="str">
        <f>HYPERLINK(".\links\pep\TI-298-pep.txt","TI-298")</f>
        <v>TI-298</v>
      </c>
      <c r="B287">
        <v>298</v>
      </c>
      <c r="C287" t="s">
        <v>11</v>
      </c>
      <c r="D287">
        <v>241</v>
      </c>
      <c r="E287">
        <v>0</v>
      </c>
      <c r="F287" t="str">
        <f>HYPERLINK(".\links\cds\TI-298-cds.txt","TI-298")</f>
        <v>TI-298</v>
      </c>
      <c r="G287">
        <v>726</v>
      </c>
      <c r="H287"/>
      <c r="I287" t="s">
        <v>8</v>
      </c>
      <c r="J287" t="s">
        <v>6</v>
      </c>
      <c r="K287">
        <v>1</v>
      </c>
      <c r="L287">
        <v>0</v>
      </c>
      <c r="M287">
        <f t="shared" si="5"/>
        <v>1</v>
      </c>
      <c r="N287" t="s">
        <v>1309</v>
      </c>
      <c r="O287" t="s">
        <v>1178</v>
      </c>
      <c r="P287" t="str">
        <f>HYPERLINK(".\links\NR-LIGHT\TI-298-NR-LIGHT.txt","NR-LIGHT")</f>
        <v>NR-LIGHT</v>
      </c>
      <c r="Q287" s="3">
        <v>2.0000000000000001E-63</v>
      </c>
      <c r="R287">
        <v>40.4</v>
      </c>
      <c r="S287" t="str">
        <f>HYPERLINK(".\links\NR-LIGHT\TI-298-NR-LIGHT.txt","similar to AGAP005091-PB")</f>
        <v>similar to AGAP005091-PB</v>
      </c>
      <c r="T287" t="str">
        <f>HYPERLINK("http://www.ncbi.nlm.nih.gov/sutils/blink.cgi?pid=189234389","2E-063")</f>
        <v>2E-063</v>
      </c>
      <c r="U287" t="str">
        <f>HYPERLINK("http://www.ncbi.nlm.nih.gov/protein/189234389","gi|189234389")</f>
        <v>gi|189234389</v>
      </c>
      <c r="V287">
        <v>244</v>
      </c>
      <c r="W287">
        <v>232</v>
      </c>
      <c r="X287">
        <v>581</v>
      </c>
      <c r="Y287">
        <v>56</v>
      </c>
      <c r="Z287">
        <v>40</v>
      </c>
      <c r="AA287">
        <v>103</v>
      </c>
      <c r="AB287">
        <v>8</v>
      </c>
      <c r="AC287">
        <v>264</v>
      </c>
      <c r="AD287">
        <v>5</v>
      </c>
      <c r="AE287">
        <v>1</v>
      </c>
      <c r="AF287"/>
      <c r="AG287" t="s">
        <v>13</v>
      </c>
      <c r="AH287" t="s">
        <v>51</v>
      </c>
      <c r="AI287" t="s">
        <v>266</v>
      </c>
      <c r="AJ287" t="str">
        <f>HYPERLINK(".\links\SWISSP\TI-298-SWISSP.txt","Protein GDAP2 homolog OS=Drosophila pseudoobscura pseudoobscura GN=GA15091 PE=3")</f>
        <v>Protein GDAP2 homolog OS=Drosophila pseudoobscura pseudoobscura GN=GA15091 PE=3</v>
      </c>
      <c r="AK287" t="str">
        <f>HYPERLINK("http://www.uniprot.org/uniprot/Q292F9","2E-053")</f>
        <v>2E-053</v>
      </c>
      <c r="AL287" t="s">
        <v>181</v>
      </c>
      <c r="AM287">
        <v>209</v>
      </c>
      <c r="AN287">
        <v>210</v>
      </c>
      <c r="AO287">
        <v>542</v>
      </c>
      <c r="AP287">
        <v>52</v>
      </c>
      <c r="AQ287">
        <v>39</v>
      </c>
      <c r="AR287">
        <v>100</v>
      </c>
      <c r="AS287">
        <v>4</v>
      </c>
      <c r="AT287">
        <v>327</v>
      </c>
      <c r="AU287">
        <v>29</v>
      </c>
      <c r="AV287">
        <v>1</v>
      </c>
      <c r="AW287" t="s">
        <v>107</v>
      </c>
      <c r="AX287" t="str">
        <f>HYPERLINK(".\links\PREV-RHOD-PEP\TI-298-PREV-RHOD-PEP.txt","Contig17945_17")</f>
        <v>Contig17945_17</v>
      </c>
      <c r="AY287" s="3">
        <v>1.9999999999999999E-40</v>
      </c>
      <c r="AZ287" t="s">
        <v>1102</v>
      </c>
      <c r="BA287">
        <v>162</v>
      </c>
      <c r="BB287">
        <v>111</v>
      </c>
      <c r="BC287">
        <v>774</v>
      </c>
      <c r="BD287">
        <v>71</v>
      </c>
      <c r="BE287">
        <v>14</v>
      </c>
      <c r="BF287">
        <v>32</v>
      </c>
      <c r="BG287">
        <v>0</v>
      </c>
      <c r="BH287">
        <v>14</v>
      </c>
      <c r="BI287">
        <v>62</v>
      </c>
      <c r="BJ287">
        <v>1</v>
      </c>
      <c r="BK287" t="s">
        <v>777</v>
      </c>
      <c r="BL287">
        <f>HYPERLINK(".\links\GO\TI-298-GO.txt",6E-24)</f>
        <v>5.9999999999999999E-24</v>
      </c>
      <c r="BM287" t="s">
        <v>373</v>
      </c>
      <c r="BN287" t="s">
        <v>373</v>
      </c>
      <c r="BO287"/>
      <c r="BP287" t="s">
        <v>374</v>
      </c>
      <c r="BQ287" s="3">
        <v>9.9999999999999996E-24</v>
      </c>
      <c r="BR287" t="s">
        <v>375</v>
      </c>
      <c r="BS287" t="s">
        <v>375</v>
      </c>
      <c r="BT287"/>
      <c r="BU287" t="s">
        <v>376</v>
      </c>
      <c r="BV287" s="3">
        <v>9.9999999999999996E-24</v>
      </c>
      <c r="BW287" t="s">
        <v>778</v>
      </c>
      <c r="BX287" t="s">
        <v>373</v>
      </c>
      <c r="BY287"/>
      <c r="BZ287" t="s">
        <v>779</v>
      </c>
      <c r="CA287" s="3">
        <v>9.9999999999999996E-24</v>
      </c>
      <c r="CB287" t="s">
        <v>8</v>
      </c>
      <c r="CC287"/>
      <c r="CD287"/>
      <c r="CE287" t="s">
        <v>8</v>
      </c>
      <c r="CF287"/>
      <c r="CG287"/>
      <c r="CH287" t="s">
        <v>8</v>
      </c>
      <c r="CI287"/>
      <c r="CJ287" t="s">
        <v>8</v>
      </c>
      <c r="CK287"/>
      <c r="CL287" t="s">
        <v>8</v>
      </c>
      <c r="CM287"/>
      <c r="CN287" t="s">
        <v>8</v>
      </c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 t="s">
        <v>8</v>
      </c>
      <c r="DC287"/>
      <c r="DD287"/>
      <c r="DE287"/>
      <c r="DF287"/>
      <c r="DG287"/>
      <c r="DH287"/>
      <c r="DI287"/>
      <c r="DJ287"/>
      <c r="DK287"/>
      <c r="DL287"/>
      <c r="DM287"/>
      <c r="DN287"/>
      <c r="DO287"/>
    </row>
    <row r="288" spans="1:119" s="6" customFormat="1">
      <c r="A288" t="str">
        <f>HYPERLINK(".\links\pep\TI-295-pep.txt","TI-295")</f>
        <v>TI-295</v>
      </c>
      <c r="B288">
        <v>295</v>
      </c>
      <c r="C288" t="s">
        <v>19</v>
      </c>
      <c r="D288">
        <v>174</v>
      </c>
      <c r="E288">
        <v>0</v>
      </c>
      <c r="F288" t="str">
        <f>HYPERLINK(".\links\cds\TI-295-cds.txt","TI-295")</f>
        <v>TI-295</v>
      </c>
      <c r="G288">
        <v>525</v>
      </c>
      <c r="H288"/>
      <c r="I288" t="s">
        <v>8</v>
      </c>
      <c r="J288" t="s">
        <v>6</v>
      </c>
      <c r="K288">
        <v>3</v>
      </c>
      <c r="L288">
        <v>0</v>
      </c>
      <c r="M288">
        <f t="shared" si="5"/>
        <v>3</v>
      </c>
      <c r="N288" t="s">
        <v>1219</v>
      </c>
      <c r="O288" t="s">
        <v>1173</v>
      </c>
      <c r="P288" t="str">
        <f>HYPERLINK(".\links\GO\TI-295-GO.txt","GO")</f>
        <v>GO</v>
      </c>
      <c r="Q288" s="3">
        <v>9.9999999999999996E-39</v>
      </c>
      <c r="R288">
        <v>32.799999999999997</v>
      </c>
      <c r="S288" t="str">
        <f>HYPERLINK(".\links\NR-LIGHT\TI-295-NR-LIGHT.txt","amidotransferase subunit A, putative")</f>
        <v>amidotransferase subunit A, putative</v>
      </c>
      <c r="T288" t="str">
        <f>HYPERLINK("http://www.ncbi.nlm.nih.gov/sutils/blink.cgi?pid=242007160","2E-046")</f>
        <v>2E-046</v>
      </c>
      <c r="U288" t="str">
        <f>HYPERLINK("http://www.ncbi.nlm.nih.gov/protein/242007160","gi|242007160")</f>
        <v>gi|242007160</v>
      </c>
      <c r="V288">
        <v>187</v>
      </c>
      <c r="W288">
        <v>170</v>
      </c>
      <c r="X288">
        <v>520</v>
      </c>
      <c r="Y288">
        <v>51</v>
      </c>
      <c r="Z288">
        <v>33</v>
      </c>
      <c r="AA288">
        <v>83</v>
      </c>
      <c r="AB288">
        <v>1</v>
      </c>
      <c r="AC288">
        <v>348</v>
      </c>
      <c r="AD288">
        <v>2</v>
      </c>
      <c r="AE288">
        <v>1</v>
      </c>
      <c r="AF288"/>
      <c r="AG288" t="s">
        <v>13</v>
      </c>
      <c r="AH288" t="s">
        <v>51</v>
      </c>
      <c r="AI288" t="s">
        <v>268</v>
      </c>
      <c r="AJ288" t="str">
        <f>HYPERLINK(".\links\SWISSP\TI-295-SWISSP.txt","Fatty-acid amide hydrolase 2 OS=Homo sapiens GN=FAAH2 PE=2 SV=1")</f>
        <v>Fatty-acid amide hydrolase 2 OS=Homo sapiens GN=FAAH2 PE=2 SV=1</v>
      </c>
      <c r="AK288" t="str">
        <f>HYPERLINK("http://www.uniprot.org/uniprot/Q6GMR7","3E-036")</f>
        <v>3E-036</v>
      </c>
      <c r="AL288" t="s">
        <v>180</v>
      </c>
      <c r="AM288">
        <v>150</v>
      </c>
      <c r="AN288">
        <v>176</v>
      </c>
      <c r="AO288">
        <v>532</v>
      </c>
      <c r="AP288">
        <v>48</v>
      </c>
      <c r="AQ288">
        <v>33</v>
      </c>
      <c r="AR288">
        <v>92</v>
      </c>
      <c r="AS288">
        <v>8</v>
      </c>
      <c r="AT288">
        <v>353</v>
      </c>
      <c r="AU288">
        <v>3</v>
      </c>
      <c r="AV288">
        <v>1</v>
      </c>
      <c r="AW288" t="s">
        <v>68</v>
      </c>
      <c r="AX288" t="str">
        <f>HYPERLINK(".\links\PREV-RHOD-PEP\TI-295-PREV-RHOD-PEP.txt","Contig17909_77")</f>
        <v>Contig17909_77</v>
      </c>
      <c r="AY288" s="3">
        <v>8.9999999999999992E-87</v>
      </c>
      <c r="AZ288" t="s">
        <v>1101</v>
      </c>
      <c r="BA288">
        <v>315</v>
      </c>
      <c r="BB288">
        <v>172</v>
      </c>
      <c r="BC288">
        <v>761</v>
      </c>
      <c r="BD288">
        <v>84</v>
      </c>
      <c r="BE288">
        <v>23</v>
      </c>
      <c r="BF288">
        <v>26</v>
      </c>
      <c r="BG288">
        <v>0</v>
      </c>
      <c r="BH288">
        <v>588</v>
      </c>
      <c r="BI288">
        <v>1</v>
      </c>
      <c r="BJ288">
        <v>1</v>
      </c>
      <c r="BK288" t="s">
        <v>774</v>
      </c>
      <c r="BL288">
        <f>HYPERLINK(".\links\GO\TI-295-GO.txt",1E-38)</f>
        <v>9.9999999999999996E-39</v>
      </c>
      <c r="BM288" t="s">
        <v>8</v>
      </c>
      <c r="BN288" t="s">
        <v>8</v>
      </c>
      <c r="BO288" t="s">
        <v>8</v>
      </c>
      <c r="BP288" t="s">
        <v>8</v>
      </c>
      <c r="BQ288" t="s">
        <v>8</v>
      </c>
      <c r="BR288" t="s">
        <v>8</v>
      </c>
      <c r="BS288" t="s">
        <v>8</v>
      </c>
      <c r="BT288" t="s">
        <v>8</v>
      </c>
      <c r="BU288" t="s">
        <v>8</v>
      </c>
      <c r="BV288" t="s">
        <v>8</v>
      </c>
      <c r="BW288" t="s">
        <v>775</v>
      </c>
      <c r="BX288" t="s">
        <v>345</v>
      </c>
      <c r="BY288" t="s">
        <v>349</v>
      </c>
      <c r="BZ288" t="s">
        <v>776</v>
      </c>
      <c r="CA288">
        <v>1E-3</v>
      </c>
      <c r="CB288" t="s">
        <v>8</v>
      </c>
      <c r="CC288"/>
      <c r="CD288"/>
      <c r="CE288" t="s">
        <v>8</v>
      </c>
      <c r="CF288"/>
      <c r="CG288"/>
      <c r="CH288" t="s">
        <v>8</v>
      </c>
      <c r="CI288"/>
      <c r="CJ288" t="s">
        <v>8</v>
      </c>
      <c r="CK288"/>
      <c r="CL288" t="s">
        <v>8</v>
      </c>
      <c r="CM288"/>
      <c r="CN288" t="s">
        <v>8</v>
      </c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 t="s">
        <v>8</v>
      </c>
      <c r="DC288"/>
      <c r="DD288"/>
      <c r="DE288"/>
      <c r="DF288"/>
      <c r="DG288"/>
      <c r="DH288"/>
      <c r="DI288"/>
      <c r="DJ288"/>
      <c r="DK288"/>
      <c r="DL288"/>
      <c r="DM288"/>
      <c r="DN288"/>
      <c r="DO288"/>
    </row>
    <row r="289" spans="1:119" s="6" customFormat="1">
      <c r="A289" t="str">
        <f>HYPERLINK(".\links\pep\TI-290-pep.txt","TI-290")</f>
        <v>TI-290</v>
      </c>
      <c r="B289">
        <v>290</v>
      </c>
      <c r="C289" t="s">
        <v>27</v>
      </c>
      <c r="D289">
        <v>163</v>
      </c>
      <c r="E289">
        <v>0</v>
      </c>
      <c r="F289" t="str">
        <f>HYPERLINK(".\links\cds\TI-290-cds.txt","TI-290")</f>
        <v>TI-290</v>
      </c>
      <c r="G289">
        <v>491</v>
      </c>
      <c r="H289"/>
      <c r="I289" t="s">
        <v>8</v>
      </c>
      <c r="J289" t="s">
        <v>6</v>
      </c>
      <c r="K289">
        <v>2</v>
      </c>
      <c r="L289">
        <v>0</v>
      </c>
      <c r="M289">
        <f t="shared" si="5"/>
        <v>2</v>
      </c>
      <c r="N289" t="s">
        <v>1307</v>
      </c>
      <c r="O289" t="s">
        <v>1187</v>
      </c>
      <c r="P289" t="str">
        <f>HYPERLINK(".\links\NR-LIGHT\TI-290-NR-LIGHT.txt","NR-LIGHT")</f>
        <v>NR-LIGHT</v>
      </c>
      <c r="Q289" s="3">
        <v>8.9999999999999993E-30</v>
      </c>
      <c r="R289">
        <v>66.900000000000006</v>
      </c>
      <c r="S289" t="str">
        <f>HYPERLINK(".\links\NR-LIGHT\TI-290-NR-LIGHT.txt","hypothetical protein DAPPUDRAFT_238099")</f>
        <v>hypothetical protein DAPPUDRAFT_238099</v>
      </c>
      <c r="T289" t="str">
        <f>HYPERLINK("http://www.ncbi.nlm.nih.gov/sutils/blink.cgi?pid=321474467","4E-030")</f>
        <v>4E-030</v>
      </c>
      <c r="U289" t="str">
        <f>HYPERLINK("http://www.ncbi.nlm.nih.gov/protein/321474467","gi|321474467")</f>
        <v>gi|321474467</v>
      </c>
      <c r="V289">
        <v>132</v>
      </c>
      <c r="W289">
        <v>150</v>
      </c>
      <c r="X289">
        <v>237</v>
      </c>
      <c r="Y289">
        <v>50</v>
      </c>
      <c r="Z289">
        <v>64</v>
      </c>
      <c r="AA289">
        <v>78</v>
      </c>
      <c r="AB289">
        <v>11</v>
      </c>
      <c r="AC289">
        <v>7</v>
      </c>
      <c r="AD289">
        <v>12</v>
      </c>
      <c r="AE289">
        <v>1</v>
      </c>
      <c r="AF289"/>
      <c r="AG289" t="s">
        <v>13</v>
      </c>
      <c r="AH289" t="s">
        <v>51</v>
      </c>
      <c r="AI289" t="s">
        <v>270</v>
      </c>
      <c r="AJ289" t="str">
        <f>HYPERLINK(".\links\SWISSP\TI-290-SWISSP.txt","Golgi SNAP receptor complex member 1 OS=Pongo abelii GN=GOSR1 PE=2 SV=1")</f>
        <v>Golgi SNAP receptor complex member 1 OS=Pongo abelii GN=GOSR1 PE=2 SV=1</v>
      </c>
      <c r="AK289" t="str">
        <f>HYPERLINK("http://www.uniprot.org/uniprot/Q5RBL6","1E-029")</f>
        <v>1E-029</v>
      </c>
      <c r="AL289" t="s">
        <v>178</v>
      </c>
      <c r="AM289">
        <v>129</v>
      </c>
      <c r="AN289">
        <v>163</v>
      </c>
      <c r="AO289">
        <v>248</v>
      </c>
      <c r="AP289">
        <v>46</v>
      </c>
      <c r="AQ289">
        <v>66</v>
      </c>
      <c r="AR289">
        <v>88</v>
      </c>
      <c r="AS289">
        <v>13</v>
      </c>
      <c r="AT289">
        <v>5</v>
      </c>
      <c r="AU289">
        <v>9</v>
      </c>
      <c r="AV289">
        <v>1</v>
      </c>
      <c r="AW289" t="s">
        <v>121</v>
      </c>
      <c r="AX289" t="str">
        <f>HYPERLINK(".\links\PREV-RHOD-PEP\TI-290-PREV-RHOD-PEP.txt","Contig17794_96")</f>
        <v>Contig17794_96</v>
      </c>
      <c r="AY289" s="3">
        <v>7.9999999999999997E-72</v>
      </c>
      <c r="AZ289" t="s">
        <v>1098</v>
      </c>
      <c r="BA289">
        <v>265</v>
      </c>
      <c r="BB289">
        <v>153</v>
      </c>
      <c r="BC289">
        <v>234</v>
      </c>
      <c r="BD289">
        <v>83</v>
      </c>
      <c r="BE289">
        <v>66</v>
      </c>
      <c r="BF289">
        <v>26</v>
      </c>
      <c r="BG289">
        <v>2</v>
      </c>
      <c r="BH289">
        <v>1</v>
      </c>
      <c r="BI289">
        <v>8</v>
      </c>
      <c r="BJ289">
        <v>1</v>
      </c>
      <c r="BK289" t="s">
        <v>768</v>
      </c>
      <c r="BL289">
        <f>HYPERLINK(".\links\GO\TI-290-GO.txt",1E-29)</f>
        <v>9.9999999999999994E-30</v>
      </c>
      <c r="BM289" t="s">
        <v>590</v>
      </c>
      <c r="BN289" t="s">
        <v>340</v>
      </c>
      <c r="BO289" t="s">
        <v>341</v>
      </c>
      <c r="BP289" t="s">
        <v>591</v>
      </c>
      <c r="BQ289" s="3">
        <v>9.9999999999999994E-30</v>
      </c>
      <c r="BR289" t="s">
        <v>526</v>
      </c>
      <c r="BS289" t="s">
        <v>323</v>
      </c>
      <c r="BT289" t="s">
        <v>334</v>
      </c>
      <c r="BU289" t="s">
        <v>527</v>
      </c>
      <c r="BV289" s="3">
        <v>9.9999999999999994E-30</v>
      </c>
      <c r="BW289" t="s">
        <v>769</v>
      </c>
      <c r="BX289" t="s">
        <v>340</v>
      </c>
      <c r="BY289" t="s">
        <v>341</v>
      </c>
      <c r="BZ289" t="s">
        <v>770</v>
      </c>
      <c r="CA289" s="3">
        <v>9.9999999999999994E-30</v>
      </c>
      <c r="CB289" t="s">
        <v>8</v>
      </c>
      <c r="CC289"/>
      <c r="CD289"/>
      <c r="CE289" t="s">
        <v>8</v>
      </c>
      <c r="CF289"/>
      <c r="CG289"/>
      <c r="CH289" t="s">
        <v>8</v>
      </c>
      <c r="CI289"/>
      <c r="CJ289" t="s">
        <v>8</v>
      </c>
      <c r="CK289"/>
      <c r="CL289" t="s">
        <v>8</v>
      </c>
      <c r="CM289"/>
      <c r="CN289" t="s">
        <v>8</v>
      </c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 t="s">
        <v>8</v>
      </c>
      <c r="DC289"/>
      <c r="DD289"/>
      <c r="DE289"/>
      <c r="DF289"/>
      <c r="DG289"/>
      <c r="DH289"/>
      <c r="DI289"/>
      <c r="DJ289"/>
      <c r="DK289"/>
      <c r="DL289"/>
      <c r="DM289"/>
      <c r="DN289"/>
      <c r="DO289"/>
    </row>
    <row r="290" spans="1:119" s="6" customFormat="1">
      <c r="A290" s="6" t="str">
        <f>HYPERLINK(".\links\pep\TI-284-pep.txt","TI-284")</f>
        <v>TI-284</v>
      </c>
      <c r="B290" s="6">
        <v>284</v>
      </c>
      <c r="C290" s="6" t="s">
        <v>11</v>
      </c>
      <c r="D290" s="6">
        <v>85</v>
      </c>
      <c r="E290" s="6">
        <v>0</v>
      </c>
      <c r="F290" s="6" t="str">
        <f>HYPERLINK(".\links\cds\TI-284-cds.txt","TI-284")</f>
        <v>TI-284</v>
      </c>
      <c r="G290" s="6">
        <v>258</v>
      </c>
      <c r="I290" s="6" t="s">
        <v>8</v>
      </c>
      <c r="J290" s="6" t="s">
        <v>6</v>
      </c>
      <c r="K290" s="6">
        <v>1</v>
      </c>
      <c r="L290" s="6">
        <v>0</v>
      </c>
      <c r="M290" s="6">
        <f t="shared" si="5"/>
        <v>1</v>
      </c>
      <c r="N290" s="6" t="s">
        <v>1170</v>
      </c>
      <c r="O290" s="6" t="s">
        <v>1171</v>
      </c>
      <c r="S290" s="6" t="str">
        <f>HYPERLINK(".\links\NR-LIGHT\TI-284-NR-LIGHT.txt","E3 ubiquitin-protein ligase RNF14")</f>
        <v>E3 ubiquitin-protein ligase RNF14</v>
      </c>
      <c r="T290" s="6" t="str">
        <f>HYPERLINK("http://www.ncbi.nlm.nih.gov/sutils/blink.cgi?pid=125630705","4.0")</f>
        <v>4.0</v>
      </c>
      <c r="U290" s="6" t="str">
        <f>HYPERLINK("http://www.ncbi.nlm.nih.gov/protein/125630705","gi|125630705")</f>
        <v>gi|125630705</v>
      </c>
      <c r="V290" s="6">
        <v>32.299999999999997</v>
      </c>
      <c r="W290" s="6">
        <v>38</v>
      </c>
      <c r="X290" s="6">
        <v>474</v>
      </c>
      <c r="Y290" s="6">
        <v>33</v>
      </c>
      <c r="Z290" s="6">
        <v>8</v>
      </c>
      <c r="AA290" s="6">
        <v>26</v>
      </c>
      <c r="AB290" s="6">
        <v>0</v>
      </c>
      <c r="AC290" s="6">
        <v>120</v>
      </c>
      <c r="AD290" s="6">
        <v>33</v>
      </c>
      <c r="AE290" s="6">
        <v>1</v>
      </c>
      <c r="AG290" s="6" t="s">
        <v>13</v>
      </c>
      <c r="AH290" s="6" t="s">
        <v>51</v>
      </c>
      <c r="AI290" s="6" t="s">
        <v>64</v>
      </c>
      <c r="AJ290" s="6" t="s">
        <v>8</v>
      </c>
      <c r="AX290" s="6" t="s">
        <v>8</v>
      </c>
      <c r="BK290" s="6" t="s">
        <v>8</v>
      </c>
      <c r="CB290" s="6" t="s">
        <v>8</v>
      </c>
      <c r="CE290" s="6" t="s">
        <v>8</v>
      </c>
      <c r="CH290" s="6" t="s">
        <v>8</v>
      </c>
      <c r="CJ290" s="6" t="s">
        <v>8</v>
      </c>
      <c r="CL290" s="6" t="s">
        <v>8</v>
      </c>
      <c r="CN290" s="6" t="s">
        <v>8</v>
      </c>
      <c r="DB290" s="6" t="s">
        <v>8</v>
      </c>
    </row>
    <row r="291" spans="1:119" s="6" customFormat="1">
      <c r="A291" s="6" t="str">
        <f>HYPERLINK(".\links\pep\TI-279-pep.txt","TI-279")</f>
        <v>TI-279</v>
      </c>
      <c r="B291" s="6">
        <v>279</v>
      </c>
      <c r="C291" s="6" t="s">
        <v>9</v>
      </c>
      <c r="D291" s="6">
        <v>17</v>
      </c>
      <c r="E291" s="6">
        <v>0</v>
      </c>
      <c r="F291" s="6" t="str">
        <f>HYPERLINK(".\links\cds\TI-279-cds.txt","TI-279")</f>
        <v>TI-279</v>
      </c>
      <c r="G291" s="6">
        <v>54</v>
      </c>
      <c r="I291" s="6" t="s">
        <v>8</v>
      </c>
      <c r="J291" s="6" t="s">
        <v>6</v>
      </c>
      <c r="K291" s="6">
        <v>1</v>
      </c>
      <c r="L291" s="6">
        <v>0</v>
      </c>
      <c r="M291" s="6">
        <f t="shared" si="5"/>
        <v>1</v>
      </c>
      <c r="N291" s="6" t="s">
        <v>1170</v>
      </c>
      <c r="O291" s="6" t="s">
        <v>1171</v>
      </c>
      <c r="S291" s="6" t="s">
        <v>8</v>
      </c>
      <c r="AJ291" s="6" t="s">
        <v>8</v>
      </c>
      <c r="AX291" s="6" t="s">
        <v>8</v>
      </c>
      <c r="BK291" s="6" t="s">
        <v>8</v>
      </c>
      <c r="CB291" s="6" t="s">
        <v>8</v>
      </c>
      <c r="CE291" s="6" t="s">
        <v>8</v>
      </c>
      <c r="CH291" s="6" t="s">
        <v>8</v>
      </c>
      <c r="CJ291" s="6" t="s">
        <v>8</v>
      </c>
      <c r="CL291" s="6" t="s">
        <v>8</v>
      </c>
      <c r="CN291" s="6" t="s">
        <v>8</v>
      </c>
      <c r="DB291" s="6" t="s">
        <v>8</v>
      </c>
    </row>
    <row r="292" spans="1:119" s="6" customFormat="1">
      <c r="A292" t="str">
        <f>HYPERLINK(".\links\pep\TI-278-pep.txt","TI-278")</f>
        <v>TI-278</v>
      </c>
      <c r="B292">
        <v>278</v>
      </c>
      <c r="C292" t="s">
        <v>18</v>
      </c>
      <c r="D292">
        <v>188</v>
      </c>
      <c r="E292">
        <v>0</v>
      </c>
      <c r="F292" t="str">
        <f>HYPERLINK(".\links\cds\TI-278-cds.txt","TI-278")</f>
        <v>TI-278</v>
      </c>
      <c r="G292">
        <v>562</v>
      </c>
      <c r="H292"/>
      <c r="I292" t="s">
        <v>8</v>
      </c>
      <c r="J292" t="s">
        <v>8</v>
      </c>
      <c r="K292">
        <v>1</v>
      </c>
      <c r="L292">
        <v>0</v>
      </c>
      <c r="M292">
        <f t="shared" si="5"/>
        <v>1</v>
      </c>
      <c r="N292" t="s">
        <v>1306</v>
      </c>
      <c r="O292" t="s">
        <v>1176</v>
      </c>
      <c r="P292" t="str">
        <f>HYPERLINK(".\links\NR-LIGHT\TI-278-NR-LIGHT.txt","NR-LIGHT")</f>
        <v>NR-LIGHT</v>
      </c>
      <c r="Q292" s="3">
        <v>1E-35</v>
      </c>
      <c r="R292">
        <v>8.9</v>
      </c>
      <c r="S292" t="str">
        <f>HYPERLINK(".\links\NR-LIGHT\TI-278-NR-LIGHT.txt","UDP-glucose:glycoprotein glucosyltransferase")</f>
        <v>UDP-glucose:glycoprotein glucosyltransferase</v>
      </c>
      <c r="T292" t="str">
        <f>HYPERLINK("http://www.ncbi.nlm.nih.gov/sutils/blink.cgi?pid=328786702","1E-035")</f>
        <v>1E-035</v>
      </c>
      <c r="U292" t="str">
        <f>HYPERLINK("http://www.ncbi.nlm.nih.gov/protein/328786702","gi|328786702")</f>
        <v>gi|328786702</v>
      </c>
      <c r="V292">
        <v>150</v>
      </c>
      <c r="W292">
        <v>173</v>
      </c>
      <c r="X292">
        <v>1975</v>
      </c>
      <c r="Y292">
        <v>45</v>
      </c>
      <c r="Z292">
        <v>9</v>
      </c>
      <c r="AA292">
        <v>96</v>
      </c>
      <c r="AB292">
        <v>11</v>
      </c>
      <c r="AC292">
        <v>93</v>
      </c>
      <c r="AD292">
        <v>3</v>
      </c>
      <c r="AE292">
        <v>1</v>
      </c>
      <c r="AF292"/>
      <c r="AG292" t="s">
        <v>13</v>
      </c>
      <c r="AH292" t="s">
        <v>51</v>
      </c>
      <c r="AI292" t="s">
        <v>83</v>
      </c>
      <c r="AJ292" t="str">
        <f>HYPERLINK(".\links\SWISSP\TI-278-SWISSP.txt","UDP-glucose:glycoprotein glucosyltransferase 2 OS=Homo sapiens GN=UGGT2 PE=1")</f>
        <v>UDP-glucose:glycoprotein glucosyltransferase 2 OS=Homo sapiens GN=UGGT2 PE=1</v>
      </c>
      <c r="AK292" t="str">
        <f>HYPERLINK("http://www.uniprot.org/uniprot/Q9NYU1","1E-024")</f>
        <v>1E-024</v>
      </c>
      <c r="AL292" t="s">
        <v>177</v>
      </c>
      <c r="AM292">
        <v>112</v>
      </c>
      <c r="AN292">
        <v>171</v>
      </c>
      <c r="AO292">
        <v>1516</v>
      </c>
      <c r="AP292">
        <v>38</v>
      </c>
      <c r="AQ292">
        <v>11</v>
      </c>
      <c r="AR292">
        <v>106</v>
      </c>
      <c r="AS292">
        <v>4</v>
      </c>
      <c r="AT292">
        <v>102</v>
      </c>
      <c r="AU292">
        <v>4</v>
      </c>
      <c r="AV292">
        <v>1</v>
      </c>
      <c r="AW292" t="s">
        <v>68</v>
      </c>
      <c r="AX292" t="str">
        <f>HYPERLINK(".\links\PREV-RHOD-PEP\TI-278-PREV-RHOD-PEP.txt","Contig17896_56")</f>
        <v>Contig17896_56</v>
      </c>
      <c r="AY292" s="3">
        <v>3.0000000000000002E-76</v>
      </c>
      <c r="AZ292" t="s">
        <v>1097</v>
      </c>
      <c r="BA292">
        <v>280</v>
      </c>
      <c r="BB292">
        <v>170</v>
      </c>
      <c r="BC292">
        <v>1560</v>
      </c>
      <c r="BD292">
        <v>84</v>
      </c>
      <c r="BE292">
        <v>11</v>
      </c>
      <c r="BF292">
        <v>26</v>
      </c>
      <c r="BG292">
        <v>0</v>
      </c>
      <c r="BH292">
        <v>92</v>
      </c>
      <c r="BI292">
        <v>1</v>
      </c>
      <c r="BJ292">
        <v>1</v>
      </c>
      <c r="BK292" t="s">
        <v>761</v>
      </c>
      <c r="BL292">
        <f>HYPERLINK(".\links\GO\TI-278-GO.txt",9E-27)</f>
        <v>9.0000000000000003E-27</v>
      </c>
      <c r="BM292" t="s">
        <v>762</v>
      </c>
      <c r="BN292" t="s">
        <v>345</v>
      </c>
      <c r="BO292" t="s">
        <v>346</v>
      </c>
      <c r="BP292" t="s">
        <v>763</v>
      </c>
      <c r="BQ292" s="3">
        <v>3.9999999999999998E-23</v>
      </c>
      <c r="BR292" t="s">
        <v>764</v>
      </c>
      <c r="BS292" t="s">
        <v>323</v>
      </c>
      <c r="BT292" t="s">
        <v>334</v>
      </c>
      <c r="BU292" t="s">
        <v>765</v>
      </c>
      <c r="BV292" s="3">
        <v>3.9999999999999998E-23</v>
      </c>
      <c r="BW292" t="s">
        <v>766</v>
      </c>
      <c r="BX292" t="s">
        <v>345</v>
      </c>
      <c r="BY292" t="s">
        <v>346</v>
      </c>
      <c r="BZ292" t="s">
        <v>767</v>
      </c>
      <c r="CA292" s="3">
        <v>3.9999999999999998E-23</v>
      </c>
      <c r="CB292" t="s">
        <v>8</v>
      </c>
      <c r="CC292"/>
      <c r="CD292"/>
      <c r="CE292" t="s">
        <v>8</v>
      </c>
      <c r="CF292"/>
      <c r="CG292"/>
      <c r="CH292" t="s">
        <v>8</v>
      </c>
      <c r="CI292"/>
      <c r="CJ292" t="s">
        <v>8</v>
      </c>
      <c r="CK292"/>
      <c r="CL292" t="s">
        <v>8</v>
      </c>
      <c r="CM292"/>
      <c r="CN292" t="s">
        <v>8</v>
      </c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 t="s">
        <v>8</v>
      </c>
      <c r="DC292"/>
      <c r="DD292"/>
      <c r="DE292"/>
      <c r="DF292"/>
      <c r="DG292"/>
      <c r="DH292"/>
      <c r="DI292"/>
      <c r="DJ292"/>
      <c r="DK292"/>
      <c r="DL292"/>
      <c r="DM292"/>
      <c r="DN292"/>
      <c r="DO292"/>
    </row>
    <row r="293" spans="1:119" s="4" customFormat="1">
      <c r="A293" s="6" t="str">
        <f>HYPERLINK(".\links\pep\TI-277-pep.txt","TI-277")</f>
        <v>TI-277</v>
      </c>
      <c r="B293" s="6">
        <v>277</v>
      </c>
      <c r="C293" s="6" t="s">
        <v>9</v>
      </c>
      <c r="D293" s="6">
        <v>61</v>
      </c>
      <c r="E293" s="6">
        <v>0</v>
      </c>
      <c r="F293" s="6" t="str">
        <f>HYPERLINK(".\links\cds\TI-277-cds.txt","TI-277")</f>
        <v>TI-277</v>
      </c>
      <c r="G293" s="6">
        <v>186</v>
      </c>
      <c r="H293" s="6"/>
      <c r="I293" s="6" t="s">
        <v>8</v>
      </c>
      <c r="J293" s="6" t="s">
        <v>6</v>
      </c>
      <c r="K293" s="6">
        <v>1</v>
      </c>
      <c r="L293" s="6">
        <v>0</v>
      </c>
      <c r="M293" s="6">
        <f t="shared" si="5"/>
        <v>1</v>
      </c>
      <c r="N293" s="6" t="s">
        <v>1170</v>
      </c>
      <c r="O293" s="6" t="s">
        <v>1171</v>
      </c>
      <c r="P293" s="6"/>
      <c r="Q293" s="6"/>
      <c r="R293" s="6"/>
      <c r="S293" s="6" t="s">
        <v>8</v>
      </c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 t="s">
        <v>8</v>
      </c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 t="s">
        <v>8</v>
      </c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 t="s">
        <v>8</v>
      </c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 t="s">
        <v>8</v>
      </c>
      <c r="CC293" s="6"/>
      <c r="CD293" s="6"/>
      <c r="CE293" s="6" t="s">
        <v>8</v>
      </c>
      <c r="CF293" s="6"/>
      <c r="CG293" s="6"/>
      <c r="CH293" s="6" t="s">
        <v>8</v>
      </c>
      <c r="CI293" s="6"/>
      <c r="CJ293" s="6" t="s">
        <v>8</v>
      </c>
      <c r="CK293" s="6"/>
      <c r="CL293" s="6" t="s">
        <v>8</v>
      </c>
      <c r="CM293" s="6"/>
      <c r="CN293" s="6" t="s">
        <v>8</v>
      </c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 t="s">
        <v>8</v>
      </c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</row>
    <row r="294" spans="1:119" s="4" customFormat="1">
      <c r="A294" t="str">
        <f>HYPERLINK(".\links\pep\TI-271-pep.txt","TI-271")</f>
        <v>TI-271</v>
      </c>
      <c r="B294">
        <v>271</v>
      </c>
      <c r="C294" t="s">
        <v>7</v>
      </c>
      <c r="D294">
        <v>139</v>
      </c>
      <c r="E294">
        <v>0</v>
      </c>
      <c r="F294" t="str">
        <f>HYPERLINK(".\links\cds\TI-271-cds.txt","TI-271")</f>
        <v>TI-271</v>
      </c>
      <c r="G294">
        <v>415</v>
      </c>
      <c r="H294"/>
      <c r="I294" t="s">
        <v>29</v>
      </c>
      <c r="J294" t="s">
        <v>8</v>
      </c>
      <c r="K294">
        <v>1</v>
      </c>
      <c r="L294">
        <v>0</v>
      </c>
      <c r="M294">
        <f t="shared" si="5"/>
        <v>1</v>
      </c>
      <c r="N294" t="s">
        <v>1217</v>
      </c>
      <c r="O294" t="s">
        <v>1169</v>
      </c>
      <c r="P294" t="str">
        <f>HYPERLINK(".\links\SWISSP\TI-271-SWISSP.txt","SWISSP")</f>
        <v>SWISSP</v>
      </c>
      <c r="Q294" s="3">
        <v>7.9999999999999997E-72</v>
      </c>
      <c r="R294">
        <v>53.2</v>
      </c>
      <c r="S294" t="str">
        <f>HYPERLINK(".\links\NR-LIGHT\TI-271-NR-LIGHT.txt","similar to ribosomal protein S4e")</f>
        <v>similar to ribosomal protein S4e</v>
      </c>
      <c r="T294" t="str">
        <f>HYPERLINK("http://www.ncbi.nlm.nih.gov/sutils/blink.cgi?pid=91083095","2E-071")</f>
        <v>2E-071</v>
      </c>
      <c r="U294" t="str">
        <f>HYPERLINK("http://www.ncbi.nlm.nih.gov/protein/91083095","gi|91083095")</f>
        <v>gi|91083095</v>
      </c>
      <c r="V294">
        <v>269</v>
      </c>
      <c r="W294">
        <v>138</v>
      </c>
      <c r="X294">
        <v>261</v>
      </c>
      <c r="Y294">
        <v>91</v>
      </c>
      <c r="Z294">
        <v>53</v>
      </c>
      <c r="AA294">
        <v>12</v>
      </c>
      <c r="AB294">
        <v>0</v>
      </c>
      <c r="AC294">
        <v>1</v>
      </c>
      <c r="AD294">
        <v>1</v>
      </c>
      <c r="AE294">
        <v>1</v>
      </c>
      <c r="AF294"/>
      <c r="AG294" t="s">
        <v>13</v>
      </c>
      <c r="AH294" t="s">
        <v>51</v>
      </c>
      <c r="AI294" t="s">
        <v>266</v>
      </c>
      <c r="AJ294" t="str">
        <f>HYPERLINK(".\links\SWISSP\TI-271-SWISSP.txt","40S ribosomal protein S4 OS=Carabus granulatus GN=RpS4 PE=2 SV=1")</f>
        <v>40S ribosomal protein S4 OS=Carabus granulatus GN=RpS4 PE=2 SV=1</v>
      </c>
      <c r="AK294" t="str">
        <f>HYPERLINK("http://www.uniprot.org/uniprot/Q4GXU6","8E-072")</f>
        <v>8E-072</v>
      </c>
      <c r="AL294" t="s">
        <v>175</v>
      </c>
      <c r="AM294">
        <v>268</v>
      </c>
      <c r="AN294">
        <v>138</v>
      </c>
      <c r="AO294">
        <v>261</v>
      </c>
      <c r="AP294">
        <v>90</v>
      </c>
      <c r="AQ294">
        <v>53</v>
      </c>
      <c r="AR294">
        <v>13</v>
      </c>
      <c r="AS294">
        <v>0</v>
      </c>
      <c r="AT294">
        <v>1</v>
      </c>
      <c r="AU294">
        <v>1</v>
      </c>
      <c r="AV294">
        <v>1</v>
      </c>
      <c r="AW294" t="s">
        <v>176</v>
      </c>
      <c r="AX294" t="str">
        <f>HYPERLINK(".\links\PREV-RHOD-PEP\TI-271-PREV-RHOD-PEP.txt","Contig17729_72")</f>
        <v>Contig17729_72</v>
      </c>
      <c r="AY294" s="3">
        <v>9.0000000000000001E-78</v>
      </c>
      <c r="AZ294" t="s">
        <v>1096</v>
      </c>
      <c r="BA294">
        <v>284</v>
      </c>
      <c r="BB294">
        <v>137</v>
      </c>
      <c r="BC294">
        <v>299</v>
      </c>
      <c r="BD294">
        <v>98</v>
      </c>
      <c r="BE294">
        <v>46</v>
      </c>
      <c r="BF294">
        <v>2</v>
      </c>
      <c r="BG294">
        <v>0</v>
      </c>
      <c r="BH294">
        <v>16</v>
      </c>
      <c r="BI294">
        <v>2</v>
      </c>
      <c r="BJ294">
        <v>1</v>
      </c>
      <c r="BK294" t="s">
        <v>760</v>
      </c>
      <c r="BL294">
        <f>HYPERLINK(".\links\GO\TI-271-GO.txt",1E-66)</f>
        <v>9.9999999999999998E-67</v>
      </c>
      <c r="BM294" t="s">
        <v>329</v>
      </c>
      <c r="BN294" t="s">
        <v>330</v>
      </c>
      <c r="BO294" t="s">
        <v>331</v>
      </c>
      <c r="BP294" t="s">
        <v>332</v>
      </c>
      <c r="BQ294" s="3">
        <v>9.9999999999999998E-67</v>
      </c>
      <c r="BR294" t="s">
        <v>739</v>
      </c>
      <c r="BS294" t="s">
        <v>323</v>
      </c>
      <c r="BT294" t="s">
        <v>334</v>
      </c>
      <c r="BU294" t="s">
        <v>740</v>
      </c>
      <c r="BV294" s="3">
        <v>9.9999999999999998E-67</v>
      </c>
      <c r="BW294" t="s">
        <v>336</v>
      </c>
      <c r="BX294" t="s">
        <v>330</v>
      </c>
      <c r="BY294" t="s">
        <v>331</v>
      </c>
      <c r="BZ294" t="s">
        <v>337</v>
      </c>
      <c r="CA294" s="3">
        <v>9.9999999999999998E-67</v>
      </c>
      <c r="CB294" t="s">
        <v>8</v>
      </c>
      <c r="CC294"/>
      <c r="CD294"/>
      <c r="CE294" t="s">
        <v>8</v>
      </c>
      <c r="CF294"/>
      <c r="CG294"/>
      <c r="CH294" t="s">
        <v>8</v>
      </c>
      <c r="CI294"/>
      <c r="CJ294" t="s">
        <v>8</v>
      </c>
      <c r="CK294"/>
      <c r="CL294" t="s">
        <v>8</v>
      </c>
      <c r="CM294"/>
      <c r="CN294" t="s">
        <v>8</v>
      </c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 t="s">
        <v>8</v>
      </c>
      <c r="DC294"/>
      <c r="DD294"/>
      <c r="DE294"/>
      <c r="DF294"/>
      <c r="DG294"/>
      <c r="DH294"/>
      <c r="DI294"/>
      <c r="DJ294"/>
      <c r="DK294"/>
      <c r="DL294"/>
      <c r="DM294"/>
      <c r="DN294"/>
      <c r="DO294"/>
    </row>
    <row r="295" spans="1:119" s="4" customFormat="1">
      <c r="A295" t="str">
        <f>HYPERLINK(".\links\pep\TI-268-pep.txt","TI-268")</f>
        <v>TI-268</v>
      </c>
      <c r="B295">
        <v>268</v>
      </c>
      <c r="C295" t="s">
        <v>7</v>
      </c>
      <c r="D295">
        <v>131</v>
      </c>
      <c r="E295">
        <v>0</v>
      </c>
      <c r="F295" t="str">
        <f>HYPERLINK(".\links\cds\TI-268-cds.txt","TI-268")</f>
        <v>TI-268</v>
      </c>
      <c r="G295">
        <v>391</v>
      </c>
      <c r="H295"/>
      <c r="I295" t="s">
        <v>29</v>
      </c>
      <c r="J295" t="s">
        <v>8</v>
      </c>
      <c r="K295">
        <v>1</v>
      </c>
      <c r="L295">
        <v>0</v>
      </c>
      <c r="M295">
        <f t="shared" si="5"/>
        <v>1</v>
      </c>
      <c r="N295" t="s">
        <v>1216</v>
      </c>
      <c r="O295" t="s">
        <v>1203</v>
      </c>
      <c r="P295" t="str">
        <f>HYPERLINK(".\links\NR-LIGHT\TI-268-NR-LIGHT.txt","NR-LIGHT")</f>
        <v>NR-LIGHT</v>
      </c>
      <c r="Q295" s="3">
        <v>3.9999999999999997E-34</v>
      </c>
      <c r="R295">
        <v>37</v>
      </c>
      <c r="S295" t="str">
        <f>HYPERLINK(".\links\NR-LIGHT\TI-268-NR-LIGHT.txt","truncated histone H1")</f>
        <v>truncated histone H1</v>
      </c>
      <c r="T295" t="str">
        <f>HYPERLINK("http://www.ncbi.nlm.nih.gov/sutils/blink.cgi?pid=149689210","4E-034")</f>
        <v>4E-034</v>
      </c>
      <c r="U295" t="str">
        <f>HYPERLINK("http://www.ncbi.nlm.nih.gov/protein/149689210","gi|149689210")</f>
        <v>gi|149689210</v>
      </c>
      <c r="V295">
        <v>145</v>
      </c>
      <c r="W295">
        <v>72</v>
      </c>
      <c r="X295">
        <v>197</v>
      </c>
      <c r="Y295">
        <v>94</v>
      </c>
      <c r="Z295">
        <v>37</v>
      </c>
      <c r="AA295">
        <v>4</v>
      </c>
      <c r="AB295">
        <v>0</v>
      </c>
      <c r="AC295">
        <v>39</v>
      </c>
      <c r="AD295">
        <v>40</v>
      </c>
      <c r="AE295">
        <v>1</v>
      </c>
      <c r="AF295"/>
      <c r="AG295" t="s">
        <v>13</v>
      </c>
      <c r="AH295" t="s">
        <v>51</v>
      </c>
      <c r="AI295" t="s">
        <v>273</v>
      </c>
      <c r="AJ295" t="str">
        <f>HYPERLINK(".\links\SWISSP\TI-268-SWISSP.txt","Histone H1 OS=Drosophila melanogaster GN=His1 PE=1 SV=1")</f>
        <v>Histone H1 OS=Drosophila melanogaster GN=His1 PE=1 SV=1</v>
      </c>
      <c r="AK295" t="str">
        <f>HYPERLINK("http://www.uniprot.org/uniprot/P02255","1E-025")</f>
        <v>1E-025</v>
      </c>
      <c r="AL295" t="s">
        <v>163</v>
      </c>
      <c r="AM295">
        <v>114</v>
      </c>
      <c r="AN295">
        <v>72</v>
      </c>
      <c r="AO295">
        <v>256</v>
      </c>
      <c r="AP295">
        <v>67</v>
      </c>
      <c r="AQ295">
        <v>29</v>
      </c>
      <c r="AR295">
        <v>24</v>
      </c>
      <c r="AS295">
        <v>0</v>
      </c>
      <c r="AT295">
        <v>45</v>
      </c>
      <c r="AU295">
        <v>40</v>
      </c>
      <c r="AV295">
        <v>1</v>
      </c>
      <c r="AW295" t="s">
        <v>52</v>
      </c>
      <c r="AX295" t="str">
        <f>HYPERLINK(".\links\PREV-RHOD-PEP\TI-268-PREV-RHOD-PEP.txt","Contig18070_21")</f>
        <v>Contig18070_21</v>
      </c>
      <c r="AY295" s="3">
        <v>9.9999999999999993E-35</v>
      </c>
      <c r="AZ295" t="s">
        <v>1081</v>
      </c>
      <c r="BA295">
        <v>141</v>
      </c>
      <c r="BB295">
        <v>111</v>
      </c>
      <c r="BC295">
        <v>208</v>
      </c>
      <c r="BD295">
        <v>65</v>
      </c>
      <c r="BE295">
        <v>54</v>
      </c>
      <c r="BF295">
        <v>39</v>
      </c>
      <c r="BG295">
        <v>0</v>
      </c>
      <c r="BH295">
        <v>1</v>
      </c>
      <c r="BI295">
        <v>1</v>
      </c>
      <c r="BJ295">
        <v>1</v>
      </c>
      <c r="BK295" t="s">
        <v>759</v>
      </c>
      <c r="BL295">
        <f>HYPERLINK(".\links\GO\TI-268-GO.txt",3E-26)</f>
        <v>3.0000000000000001E-26</v>
      </c>
      <c r="BM295" t="s">
        <v>467</v>
      </c>
      <c r="BN295" t="s">
        <v>340</v>
      </c>
      <c r="BO295" t="s">
        <v>468</v>
      </c>
      <c r="BP295" t="s">
        <v>469</v>
      </c>
      <c r="BQ295" s="3">
        <v>3.0000000000000001E-26</v>
      </c>
      <c r="BR295" t="s">
        <v>447</v>
      </c>
      <c r="BS295" t="s">
        <v>323</v>
      </c>
      <c r="BT295" t="s">
        <v>334</v>
      </c>
      <c r="BU295" t="s">
        <v>448</v>
      </c>
      <c r="BV295" s="3">
        <v>3.0000000000000001E-26</v>
      </c>
      <c r="BW295" t="s">
        <v>710</v>
      </c>
      <c r="BX295" t="s">
        <v>340</v>
      </c>
      <c r="BY295" t="s">
        <v>468</v>
      </c>
      <c r="BZ295" t="s">
        <v>711</v>
      </c>
      <c r="CA295" s="3">
        <v>3.0000000000000001E-26</v>
      </c>
      <c r="CB295" t="s">
        <v>8</v>
      </c>
      <c r="CC295"/>
      <c r="CD295"/>
      <c r="CE295" t="s">
        <v>8</v>
      </c>
      <c r="CF295"/>
      <c r="CG295"/>
      <c r="CH295" t="s">
        <v>8</v>
      </c>
      <c r="CI295"/>
      <c r="CJ295" t="s">
        <v>8</v>
      </c>
      <c r="CK295"/>
      <c r="CL295" t="s">
        <v>8</v>
      </c>
      <c r="CM295"/>
      <c r="CN295" t="s">
        <v>8</v>
      </c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 t="s">
        <v>8</v>
      </c>
      <c r="DC295"/>
      <c r="DD295"/>
      <c r="DE295"/>
      <c r="DF295"/>
      <c r="DG295"/>
      <c r="DH295"/>
      <c r="DI295"/>
      <c r="DJ295"/>
      <c r="DK295"/>
      <c r="DL295"/>
      <c r="DM295"/>
      <c r="DN295"/>
      <c r="DO295"/>
    </row>
    <row r="296" spans="1:119" s="4" customFormat="1">
      <c r="A296" s="6" t="str">
        <f>HYPERLINK(".\links\pep\TI-267-pep.txt","TI-267")</f>
        <v>TI-267</v>
      </c>
      <c r="B296" s="6">
        <v>267</v>
      </c>
      <c r="C296" s="6" t="s">
        <v>22</v>
      </c>
      <c r="D296" s="6">
        <v>51</v>
      </c>
      <c r="E296" s="6">
        <v>0</v>
      </c>
      <c r="F296" s="6" t="str">
        <f>HYPERLINK(".\links\cds\TI-267-cds.txt","TI-267")</f>
        <v>TI-267</v>
      </c>
      <c r="G296" s="6">
        <v>156</v>
      </c>
      <c r="H296" s="6"/>
      <c r="I296" s="6" t="s">
        <v>8</v>
      </c>
      <c r="J296" s="6" t="s">
        <v>6</v>
      </c>
      <c r="K296" s="6">
        <v>1</v>
      </c>
      <c r="L296" s="6">
        <v>0</v>
      </c>
      <c r="M296" s="6">
        <f t="shared" si="5"/>
        <v>1</v>
      </c>
      <c r="N296" s="6" t="s">
        <v>1170</v>
      </c>
      <c r="O296" s="6" t="s">
        <v>1171</v>
      </c>
      <c r="P296" s="6"/>
      <c r="Q296" s="6"/>
      <c r="R296" s="6"/>
      <c r="S296" s="6" t="s">
        <v>8</v>
      </c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 t="s">
        <v>8</v>
      </c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 t="s">
        <v>8</v>
      </c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 t="s">
        <v>8</v>
      </c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 t="s">
        <v>8</v>
      </c>
      <c r="CC296" s="6"/>
      <c r="CD296" s="6"/>
      <c r="CE296" s="6" t="s">
        <v>8</v>
      </c>
      <c r="CF296" s="6"/>
      <c r="CG296" s="6"/>
      <c r="CH296" s="6" t="s">
        <v>8</v>
      </c>
      <c r="CI296" s="6"/>
      <c r="CJ296" s="6" t="s">
        <v>8</v>
      </c>
      <c r="CK296" s="6"/>
      <c r="CL296" s="6" t="s">
        <v>8</v>
      </c>
      <c r="CM296" s="6"/>
      <c r="CN296" s="6" t="s">
        <v>8</v>
      </c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 t="s">
        <v>8</v>
      </c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</row>
    <row r="297" spans="1:119" s="4" customFormat="1">
      <c r="A297" s="6" t="str">
        <f>HYPERLINK(".\links\pep\TI-262-pep.txt","TI-262")</f>
        <v>TI-262</v>
      </c>
      <c r="B297" s="6">
        <v>262</v>
      </c>
      <c r="C297" s="6" t="s">
        <v>7</v>
      </c>
      <c r="D297" s="6">
        <v>167</v>
      </c>
      <c r="E297" s="6">
        <v>0</v>
      </c>
      <c r="F297" s="6" t="str">
        <f>HYPERLINK(".\links\cds\TI-262-cds.txt","TI-262")</f>
        <v>TI-262</v>
      </c>
      <c r="G297" s="6">
        <v>498</v>
      </c>
      <c r="H297" s="6"/>
      <c r="I297" s="6" t="s">
        <v>29</v>
      </c>
      <c r="J297" s="6" t="s">
        <v>8</v>
      </c>
      <c r="K297" s="6">
        <v>3</v>
      </c>
      <c r="L297" s="6">
        <v>1</v>
      </c>
      <c r="M297" s="6">
        <f t="shared" si="5"/>
        <v>2</v>
      </c>
      <c r="N297" s="6" t="s">
        <v>1170</v>
      </c>
      <c r="O297" s="6" t="s">
        <v>1171</v>
      </c>
      <c r="P297" s="6"/>
      <c r="Q297" s="6"/>
      <c r="R297" s="6"/>
      <c r="S297" s="6" t="str">
        <f>HYPERLINK(".\links\NR-LIGHT\TI-262-NR-LIGHT.txt","hypothetical protein")</f>
        <v>hypothetical protein</v>
      </c>
      <c r="T297" s="6" t="str">
        <f>HYPERLINK("http://www.ncbi.nlm.nih.gov/sutils/blink.cgi?pid=256070610","0.16")</f>
        <v>0.16</v>
      </c>
      <c r="U297" s="6" t="str">
        <f>HYPERLINK("http://www.ncbi.nlm.nih.gov/protein/256070610","gi|256070610")</f>
        <v>gi|256070610</v>
      </c>
      <c r="V297" s="6">
        <v>37.4</v>
      </c>
      <c r="W297" s="6">
        <v>98</v>
      </c>
      <c r="X297" s="6">
        <v>727</v>
      </c>
      <c r="Y297" s="6">
        <v>30</v>
      </c>
      <c r="Z297" s="6">
        <v>14</v>
      </c>
      <c r="AA297" s="6">
        <v>70</v>
      </c>
      <c r="AB297" s="6">
        <v>10</v>
      </c>
      <c r="AC297" s="6">
        <v>619</v>
      </c>
      <c r="AD297" s="6">
        <v>23</v>
      </c>
      <c r="AE297" s="6">
        <v>1</v>
      </c>
      <c r="AF297" s="6"/>
      <c r="AG297" s="6" t="s">
        <v>13</v>
      </c>
      <c r="AH297" s="6" t="s">
        <v>51</v>
      </c>
      <c r="AI297" s="6" t="s">
        <v>265</v>
      </c>
      <c r="AJ297" s="6" t="s">
        <v>8</v>
      </c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 t="str">
        <f>HYPERLINK(".\links\PREV-RHOD-PEP\TI-262-PREV-RHOD-PEP.txt","Contig17963_38")</f>
        <v>Contig17963_38</v>
      </c>
      <c r="AY297" s="8">
        <v>4E-52</v>
      </c>
      <c r="AZ297" s="6" t="s">
        <v>1093</v>
      </c>
      <c r="BA297" s="6">
        <v>199</v>
      </c>
      <c r="BB297" s="6">
        <v>166</v>
      </c>
      <c r="BC297" s="6">
        <v>238</v>
      </c>
      <c r="BD297" s="6">
        <v>55</v>
      </c>
      <c r="BE297" s="6">
        <v>70</v>
      </c>
      <c r="BF297" s="6">
        <v>74</v>
      </c>
      <c r="BG297" s="6">
        <v>1</v>
      </c>
      <c r="BH297" s="6">
        <v>47</v>
      </c>
      <c r="BI297" s="6">
        <v>1</v>
      </c>
      <c r="BJ297" s="6">
        <v>1</v>
      </c>
      <c r="BK297" s="6" t="s">
        <v>8</v>
      </c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 t="s">
        <v>8</v>
      </c>
      <c r="CC297" s="6"/>
      <c r="CD297" s="6"/>
      <c r="CE297" s="6" t="s">
        <v>8</v>
      </c>
      <c r="CF297" s="6"/>
      <c r="CG297" s="6"/>
      <c r="CH297" s="6" t="s">
        <v>8</v>
      </c>
      <c r="CI297" s="6"/>
      <c r="CJ297" s="6" t="s">
        <v>8</v>
      </c>
      <c r="CK297" s="6"/>
      <c r="CL297" s="6" t="s">
        <v>8</v>
      </c>
      <c r="CM297" s="6"/>
      <c r="CN297" s="6" t="s">
        <v>8</v>
      </c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 t="s">
        <v>8</v>
      </c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</row>
    <row r="298" spans="1:119" s="4" customFormat="1">
      <c r="A298" t="str">
        <f>HYPERLINK(".\links\pep\TI-26-pep.txt","TI-26")</f>
        <v>TI-26</v>
      </c>
      <c r="B298">
        <v>26</v>
      </c>
      <c r="C298" t="s">
        <v>13</v>
      </c>
      <c r="D298">
        <v>197</v>
      </c>
      <c r="E298">
        <v>0</v>
      </c>
      <c r="F298" t="str">
        <f>HYPERLINK(".\links\cds\TI-26-cds.txt","TI-26")</f>
        <v>TI-26</v>
      </c>
      <c r="G298">
        <v>594</v>
      </c>
      <c r="H298"/>
      <c r="I298" t="s">
        <v>8</v>
      </c>
      <c r="J298" t="s">
        <v>6</v>
      </c>
      <c r="K298">
        <v>1</v>
      </c>
      <c r="L298">
        <v>0</v>
      </c>
      <c r="M298">
        <f t="shared" si="5"/>
        <v>1</v>
      </c>
      <c r="N298" t="s">
        <v>1254</v>
      </c>
      <c r="O298" t="s">
        <v>1196</v>
      </c>
      <c r="P298" t="str">
        <f>HYPERLINK(".\links\NR-LIGHT\TI-26-NR-LIGHT.txt","NR-LIGHT")</f>
        <v>NR-LIGHT</v>
      </c>
      <c r="Q298" s="3">
        <v>2.0000000000000001E-32</v>
      </c>
      <c r="R298">
        <v>16</v>
      </c>
      <c r="S298" t="str">
        <f>HYPERLINK(".\links\NR-LIGHT\TI-26-NR-LIGHT.txt","hypothetical protein TcasGA2_TC002009")</f>
        <v>hypothetical protein TcasGA2_TC002009</v>
      </c>
      <c r="T298" t="str">
        <f>HYPERLINK("http://www.ncbi.nlm.nih.gov/sutils/blink.cgi?pid=270016691","1E-038")</f>
        <v>1E-038</v>
      </c>
      <c r="U298" t="str">
        <f>HYPERLINK("http://www.ncbi.nlm.nih.gov/protein/270016691","gi|270016691")</f>
        <v>gi|270016691</v>
      </c>
      <c r="V298">
        <v>161</v>
      </c>
      <c r="W298">
        <v>191</v>
      </c>
      <c r="X298">
        <v>797</v>
      </c>
      <c r="Y298">
        <v>43</v>
      </c>
      <c r="Z298">
        <v>24</v>
      </c>
      <c r="AA298">
        <v>109</v>
      </c>
      <c r="AB298">
        <v>3</v>
      </c>
      <c r="AC298">
        <v>73</v>
      </c>
      <c r="AD298">
        <v>4</v>
      </c>
      <c r="AE298">
        <v>1</v>
      </c>
      <c r="AF298"/>
      <c r="AG298" t="s">
        <v>13</v>
      </c>
      <c r="AH298" t="s">
        <v>51</v>
      </c>
      <c r="AI298" t="s">
        <v>266</v>
      </c>
      <c r="AJ298" t="str">
        <f>HYPERLINK(".\links\SWISSP\TI-26-SWISSP.txt","Retrovirus-related Pol polyprotein from transposon opus OS=Drosophila")</f>
        <v>Retrovirus-related Pol polyprotein from transposon opus OS=Drosophila</v>
      </c>
      <c r="AK298" t="str">
        <f>HYPERLINK("http://www.uniprot.org/uniprot/Q8I7P9","4E-008")</f>
        <v>4E-008</v>
      </c>
      <c r="AL298" t="s">
        <v>117</v>
      </c>
      <c r="AM298">
        <v>58.2</v>
      </c>
      <c r="AN298">
        <v>169</v>
      </c>
      <c r="AO298">
        <v>1003</v>
      </c>
      <c r="AP298">
        <v>30</v>
      </c>
      <c r="AQ298">
        <v>17</v>
      </c>
      <c r="AR298">
        <v>132</v>
      </c>
      <c r="AS298">
        <v>23</v>
      </c>
      <c r="AT298">
        <v>803</v>
      </c>
      <c r="AU298">
        <v>8</v>
      </c>
      <c r="AV298">
        <v>1</v>
      </c>
      <c r="AW298" t="s">
        <v>52</v>
      </c>
      <c r="AX298" t="str">
        <f>HYPERLINK(".\links\PREV-RHOD-PEP\TI-26-PREV-RHOD-PEP.txt","Contig18061_163")</f>
        <v>Contig18061_163</v>
      </c>
      <c r="AY298" s="3">
        <v>5.0000000000000002E-57</v>
      </c>
      <c r="AZ298" t="s">
        <v>1032</v>
      </c>
      <c r="BA298">
        <v>216</v>
      </c>
      <c r="BB298">
        <v>183</v>
      </c>
      <c r="BC298">
        <v>455</v>
      </c>
      <c r="BD298">
        <v>60</v>
      </c>
      <c r="BE298">
        <v>40</v>
      </c>
      <c r="BF298">
        <v>72</v>
      </c>
      <c r="BG298">
        <v>4</v>
      </c>
      <c r="BH298">
        <v>219</v>
      </c>
      <c r="BI298">
        <v>17</v>
      </c>
      <c r="BJ298">
        <v>1</v>
      </c>
      <c r="BK298" t="s">
        <v>539</v>
      </c>
      <c r="BL298">
        <f>HYPERLINK(".\links\GO\TI-26-GO.txt",0.000001)</f>
        <v>9.9999999999999995E-7</v>
      </c>
      <c r="BM298" t="s">
        <v>8</v>
      </c>
      <c r="BN298" t="s">
        <v>8</v>
      </c>
      <c r="BO298" t="s">
        <v>8</v>
      </c>
      <c r="BP298" t="s">
        <v>8</v>
      </c>
      <c r="BQ298" t="s">
        <v>8</v>
      </c>
      <c r="BR298" t="s">
        <v>375</v>
      </c>
      <c r="BS298" t="s">
        <v>375</v>
      </c>
      <c r="BT298"/>
      <c r="BU298" t="s">
        <v>376</v>
      </c>
      <c r="BV298">
        <v>9.9999999999999995E-7</v>
      </c>
      <c r="BW298" t="s">
        <v>380</v>
      </c>
      <c r="BX298" t="s">
        <v>340</v>
      </c>
      <c r="BY298" t="s">
        <v>341</v>
      </c>
      <c r="BZ298" t="s">
        <v>381</v>
      </c>
      <c r="CA298">
        <v>9.9999999999999995E-7</v>
      </c>
      <c r="CB298" t="s">
        <v>8</v>
      </c>
      <c r="CC298"/>
      <c r="CD298"/>
      <c r="CE298" t="s">
        <v>8</v>
      </c>
      <c r="CF298"/>
      <c r="CG298"/>
      <c r="CH298" t="s">
        <v>8</v>
      </c>
      <c r="CI298"/>
      <c r="CJ298" t="s">
        <v>8</v>
      </c>
      <c r="CK298"/>
      <c r="CL298" t="s">
        <v>8</v>
      </c>
      <c r="CM298"/>
      <c r="CN298" t="s">
        <v>8</v>
      </c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 t="s">
        <v>8</v>
      </c>
      <c r="DC298"/>
      <c r="DD298"/>
      <c r="DE298"/>
      <c r="DF298"/>
      <c r="DG298"/>
      <c r="DH298"/>
      <c r="DI298"/>
      <c r="DJ298"/>
      <c r="DK298"/>
      <c r="DL298"/>
      <c r="DM298"/>
      <c r="DN298"/>
      <c r="DO298"/>
    </row>
    <row r="299" spans="1:119" s="4" customFormat="1">
      <c r="A299" t="str">
        <f>HYPERLINK(".\links\pep\TI-254-pep.txt","TI-254")</f>
        <v>TI-254</v>
      </c>
      <c r="B299">
        <v>254</v>
      </c>
      <c r="C299" t="s">
        <v>7</v>
      </c>
      <c r="D299">
        <v>72</v>
      </c>
      <c r="E299">
        <v>0</v>
      </c>
      <c r="F299" t="str">
        <f>HYPERLINK(".\links\cds\TI-254-cds.txt","TI-254")</f>
        <v>TI-254</v>
      </c>
      <c r="G299">
        <v>219</v>
      </c>
      <c r="H299"/>
      <c r="I299" t="s">
        <v>29</v>
      </c>
      <c r="J299" t="s">
        <v>6</v>
      </c>
      <c r="K299">
        <v>1</v>
      </c>
      <c r="L299">
        <v>0</v>
      </c>
      <c r="M299">
        <f t="shared" si="5"/>
        <v>1</v>
      </c>
      <c r="N299" t="s">
        <v>1304</v>
      </c>
      <c r="O299" t="s">
        <v>1172</v>
      </c>
      <c r="P299" t="str">
        <f>HYPERLINK(".\links\NR-LIGHT\TI-254-NR-LIGHT.txt","NR-LIGHT")</f>
        <v>NR-LIGHT</v>
      </c>
      <c r="Q299">
        <v>3E-11</v>
      </c>
      <c r="R299">
        <v>54.1</v>
      </c>
      <c r="S299" t="str">
        <f>HYPERLINK(".\links\NR-LIGHT\TI-254-NR-LIGHT.txt","hypothetical protein DAPPUDRAFT_52086")</f>
        <v>hypothetical protein DAPPUDRAFT_52086</v>
      </c>
      <c r="T299" t="str">
        <f>HYPERLINK("http://www.ncbi.nlm.nih.gov/sutils/blink.cgi?pid=321468906","3E-012")</f>
        <v>3E-012</v>
      </c>
      <c r="U299" t="str">
        <f>HYPERLINK("http://www.ncbi.nlm.nih.gov/protein/321468906","gi|321468906")</f>
        <v>gi|321468906</v>
      </c>
      <c r="V299">
        <v>72.8</v>
      </c>
      <c r="W299">
        <v>65</v>
      </c>
      <c r="X299">
        <v>116</v>
      </c>
      <c r="Y299">
        <v>42</v>
      </c>
      <c r="Z299">
        <v>57</v>
      </c>
      <c r="AA299">
        <v>38</v>
      </c>
      <c r="AB299">
        <v>0</v>
      </c>
      <c r="AC299">
        <v>6</v>
      </c>
      <c r="AD299">
        <v>3</v>
      </c>
      <c r="AE299">
        <v>1</v>
      </c>
      <c r="AF299"/>
      <c r="AG299" t="s">
        <v>13</v>
      </c>
      <c r="AH299" t="s">
        <v>51</v>
      </c>
      <c r="AI299" t="s">
        <v>270</v>
      </c>
      <c r="AJ299" t="str">
        <f>HYPERLINK(".\links\SWISSP\TI-254-SWISSP.txt","Mitochondrial import inner membrane translocase subunit Tim9 B OS=Danio rerio")</f>
        <v>Mitochondrial import inner membrane translocase subunit Tim9 B OS=Danio rerio</v>
      </c>
      <c r="AK299" t="str">
        <f>HYPERLINK("http://www.uniprot.org/uniprot/Q568N4","4E-010")</f>
        <v>4E-010</v>
      </c>
      <c r="AL299" t="s">
        <v>174</v>
      </c>
      <c r="AM299">
        <v>63.5</v>
      </c>
      <c r="AN299">
        <v>62</v>
      </c>
      <c r="AO299">
        <v>202</v>
      </c>
      <c r="AP299">
        <v>42</v>
      </c>
      <c r="AQ299">
        <v>31</v>
      </c>
      <c r="AR299">
        <v>36</v>
      </c>
      <c r="AS299">
        <v>0</v>
      </c>
      <c r="AT299">
        <v>16</v>
      </c>
      <c r="AU299">
        <v>3</v>
      </c>
      <c r="AV299">
        <v>1</v>
      </c>
      <c r="AW299" t="s">
        <v>85</v>
      </c>
      <c r="AX299" t="str">
        <f>HYPERLINK(".\links\PREV-RHOD-PEP\TI-254-PREV-RHOD-PEP.txt","Contig17907_89")</f>
        <v>Contig17907_89</v>
      </c>
      <c r="AY299" s="3">
        <v>9.0000000000000002E-35</v>
      </c>
      <c r="AZ299" t="s">
        <v>1091</v>
      </c>
      <c r="BA299">
        <v>141</v>
      </c>
      <c r="BB299">
        <v>70</v>
      </c>
      <c r="BC299">
        <v>1097</v>
      </c>
      <c r="BD299">
        <v>90</v>
      </c>
      <c r="BE299">
        <v>6</v>
      </c>
      <c r="BF299">
        <v>7</v>
      </c>
      <c r="BG299">
        <v>0</v>
      </c>
      <c r="BH299">
        <v>13</v>
      </c>
      <c r="BI299">
        <v>1</v>
      </c>
      <c r="BJ299">
        <v>1</v>
      </c>
      <c r="BK299" t="s">
        <v>741</v>
      </c>
      <c r="BL299">
        <f>HYPERLINK(".\links\GO\TI-254-GO.txt",0.0000000002)</f>
        <v>2.0000000000000001E-10</v>
      </c>
      <c r="BM299" t="s">
        <v>742</v>
      </c>
      <c r="BN299" t="s">
        <v>319</v>
      </c>
      <c r="BO299" t="s">
        <v>422</v>
      </c>
      <c r="BP299" t="s">
        <v>743</v>
      </c>
      <c r="BQ299">
        <v>2.0000000000000001E-9</v>
      </c>
      <c r="BR299" t="s">
        <v>744</v>
      </c>
      <c r="BS299" t="s">
        <v>745</v>
      </c>
      <c r="BT299" t="s">
        <v>746</v>
      </c>
      <c r="BU299" t="s">
        <v>747</v>
      </c>
      <c r="BV299">
        <v>2.0000000000000001E-9</v>
      </c>
      <c r="BW299" t="s">
        <v>748</v>
      </c>
      <c r="BX299" t="s">
        <v>319</v>
      </c>
      <c r="BY299" t="s">
        <v>422</v>
      </c>
      <c r="BZ299" t="s">
        <v>749</v>
      </c>
      <c r="CA299">
        <v>2.0000000000000001E-9</v>
      </c>
      <c r="CB299" t="s">
        <v>8</v>
      </c>
      <c r="CC299"/>
      <c r="CD299"/>
      <c r="CE299" t="s">
        <v>8</v>
      </c>
      <c r="CF299"/>
      <c r="CG299"/>
      <c r="CH299" t="s">
        <v>8</v>
      </c>
      <c r="CI299"/>
      <c r="CJ299" t="s">
        <v>8</v>
      </c>
      <c r="CK299"/>
      <c r="CL299" t="s">
        <v>8</v>
      </c>
      <c r="CM299"/>
      <c r="CN299" t="s">
        <v>8</v>
      </c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 t="s">
        <v>8</v>
      </c>
      <c r="DC299"/>
      <c r="DD299"/>
      <c r="DE299"/>
      <c r="DF299"/>
      <c r="DG299"/>
      <c r="DH299"/>
      <c r="DI299"/>
      <c r="DJ299"/>
      <c r="DK299"/>
      <c r="DL299"/>
      <c r="DM299"/>
      <c r="DN299"/>
      <c r="DO299"/>
    </row>
    <row r="300" spans="1:119" s="4" customFormat="1">
      <c r="A300" s="6" t="str">
        <f>HYPERLINK(".\links\pep\TI-243-pep.txt","TI-243")</f>
        <v>TI-243</v>
      </c>
      <c r="B300" s="6">
        <v>243</v>
      </c>
      <c r="C300" s="6" t="s">
        <v>24</v>
      </c>
      <c r="D300" s="6">
        <v>82</v>
      </c>
      <c r="E300" s="6">
        <v>0</v>
      </c>
      <c r="F300" s="6" t="str">
        <f>HYPERLINK(".\links\cds\TI-243-cds.txt","TI-243")</f>
        <v>TI-243</v>
      </c>
      <c r="G300" s="6">
        <v>244</v>
      </c>
      <c r="H300" s="6"/>
      <c r="I300" s="6" t="s">
        <v>8</v>
      </c>
      <c r="J300" s="6" t="s">
        <v>8</v>
      </c>
      <c r="K300" s="6">
        <v>1</v>
      </c>
      <c r="L300" s="6">
        <v>0</v>
      </c>
      <c r="M300" s="6">
        <f t="shared" si="5"/>
        <v>1</v>
      </c>
      <c r="N300" s="6" t="s">
        <v>1170</v>
      </c>
      <c r="O300" s="6" t="s">
        <v>1171</v>
      </c>
      <c r="P300" s="6"/>
      <c r="Q300" s="6"/>
      <c r="R300" s="6"/>
      <c r="S300" s="6" t="str">
        <f>HYPERLINK(".\links\NR-LIGHT\TI-243-NR-LIGHT.txt","similar to chondroitin sulfate proteoglycan 3, partial")</f>
        <v>similar to chondroitin sulfate proteoglycan 3, partial</v>
      </c>
      <c r="T300" s="6" t="str">
        <f>HYPERLINK("http://www.ncbi.nlm.nih.gov/sutils/blink.cgi?pid=198415233","2.7")</f>
        <v>2.7</v>
      </c>
      <c r="U300" s="6" t="str">
        <f>HYPERLINK("http://www.ncbi.nlm.nih.gov/protein/198415233","gi|198415233")</f>
        <v>gi|198415233</v>
      </c>
      <c r="V300" s="6">
        <v>33.1</v>
      </c>
      <c r="W300" s="6">
        <v>48</v>
      </c>
      <c r="X300" s="6">
        <v>1487</v>
      </c>
      <c r="Y300" s="6">
        <v>34</v>
      </c>
      <c r="Z300" s="6">
        <v>3</v>
      </c>
      <c r="AA300" s="6">
        <v>36</v>
      </c>
      <c r="AB300" s="6">
        <v>6</v>
      </c>
      <c r="AC300" s="6">
        <v>1269</v>
      </c>
      <c r="AD300" s="6">
        <v>17</v>
      </c>
      <c r="AE300" s="6">
        <v>1</v>
      </c>
      <c r="AF300" s="6"/>
      <c r="AG300" s="6" t="s">
        <v>13</v>
      </c>
      <c r="AH300" s="6" t="s">
        <v>51</v>
      </c>
      <c r="AI300" s="6" t="s">
        <v>287</v>
      </c>
      <c r="AJ300" s="6" t="s">
        <v>8</v>
      </c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 t="str">
        <f>HYPERLINK(".\links\PREV-RHOD-PEP\TI-243-PREV-RHOD-PEP.txt","Contig17728_54")</f>
        <v>Contig17728_54</v>
      </c>
      <c r="AY300" s="8">
        <v>3.0000000000000001E-17</v>
      </c>
      <c r="AZ300" s="6" t="s">
        <v>1088</v>
      </c>
      <c r="BA300" s="6">
        <v>83.6</v>
      </c>
      <c r="BB300" s="6">
        <v>49</v>
      </c>
      <c r="BC300" s="6">
        <v>473</v>
      </c>
      <c r="BD300" s="6">
        <v>80</v>
      </c>
      <c r="BE300" s="6">
        <v>11</v>
      </c>
      <c r="BF300" s="6">
        <v>10</v>
      </c>
      <c r="BG300" s="6">
        <v>1</v>
      </c>
      <c r="BH300" s="6">
        <v>1</v>
      </c>
      <c r="BI300" s="6">
        <v>34</v>
      </c>
      <c r="BJ300" s="6">
        <v>1</v>
      </c>
      <c r="BK300" s="6" t="s">
        <v>8</v>
      </c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 t="s">
        <v>8</v>
      </c>
      <c r="CC300" s="6"/>
      <c r="CD300" s="6"/>
      <c r="CE300" s="6" t="s">
        <v>8</v>
      </c>
      <c r="CF300" s="6"/>
      <c r="CG300" s="6"/>
      <c r="CH300" s="6" t="s">
        <v>8</v>
      </c>
      <c r="CI300" s="6"/>
      <c r="CJ300" s="6" t="s">
        <v>8</v>
      </c>
      <c r="CK300" s="6"/>
      <c r="CL300" s="6" t="s">
        <v>8</v>
      </c>
      <c r="CM300" s="6"/>
      <c r="CN300" s="6" t="s">
        <v>8</v>
      </c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 t="s">
        <v>8</v>
      </c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</row>
    <row r="301" spans="1:119" s="4" customFormat="1">
      <c r="A301" t="str">
        <f>HYPERLINK(".\links\pep\TI-241-pep.txt","TI-241")</f>
        <v>TI-241</v>
      </c>
      <c r="B301">
        <v>241</v>
      </c>
      <c r="C301" t="s">
        <v>17</v>
      </c>
      <c r="D301">
        <v>263</v>
      </c>
      <c r="E301">
        <v>0</v>
      </c>
      <c r="F301" t="str">
        <f>HYPERLINK(".\links\cds\TI-241-cds.txt","TI-241")</f>
        <v>TI-241</v>
      </c>
      <c r="G301">
        <v>792</v>
      </c>
      <c r="H301"/>
      <c r="I301" t="s">
        <v>8</v>
      </c>
      <c r="J301" t="s">
        <v>6</v>
      </c>
      <c r="K301">
        <v>2</v>
      </c>
      <c r="L301">
        <v>0</v>
      </c>
      <c r="M301">
        <f t="shared" si="5"/>
        <v>2</v>
      </c>
      <c r="N301" t="s">
        <v>1301</v>
      </c>
      <c r="O301" t="s">
        <v>1178</v>
      </c>
      <c r="P301" t="str">
        <f>HYPERLINK(".\links\NR-LIGHT\TI-241-NR-LIGHT.txt","NR-LIGHT")</f>
        <v>NR-LIGHT</v>
      </c>
      <c r="Q301">
        <v>9.9999999999999994E-12</v>
      </c>
      <c r="R301">
        <v>83.7</v>
      </c>
      <c r="S301" t="str">
        <f>HYPERLINK(".\links\NR-LIGHT\TI-241-NR-LIGHT.txt","hypothetical protein AaeL_AAEL012646")</f>
        <v>hypothetical protein AaeL_AAEL012646</v>
      </c>
      <c r="T301" t="str">
        <f>HYPERLINK("http://www.ncbi.nlm.nih.gov/sutils/blink.cgi?pid=157133150","1E-011")</f>
        <v>1E-011</v>
      </c>
      <c r="U301" t="str">
        <f>HYPERLINK("http://www.ncbi.nlm.nih.gov/protein/157133150","gi|157133150")</f>
        <v>gi|157133150</v>
      </c>
      <c r="V301">
        <v>72.8</v>
      </c>
      <c r="W301">
        <v>218</v>
      </c>
      <c r="X301">
        <v>277</v>
      </c>
      <c r="Y301">
        <v>32</v>
      </c>
      <c r="Z301">
        <v>79</v>
      </c>
      <c r="AA301">
        <v>156</v>
      </c>
      <c r="AB301">
        <v>25</v>
      </c>
      <c r="AC301">
        <v>37</v>
      </c>
      <c r="AD301">
        <v>30</v>
      </c>
      <c r="AE301">
        <v>1</v>
      </c>
      <c r="AF301"/>
      <c r="AG301" t="s">
        <v>13</v>
      </c>
      <c r="AH301" t="s">
        <v>51</v>
      </c>
      <c r="AI301" t="s">
        <v>76</v>
      </c>
      <c r="AJ301" t="s">
        <v>8</v>
      </c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 t="str">
        <f>HYPERLINK(".\links\PREV-RHOD-PEP\TI-241-PREV-RHOD-PEP.txt","Contig18037_4")</f>
        <v>Contig18037_4</v>
      </c>
      <c r="AY301" s="3">
        <v>8.9999999999999995E-91</v>
      </c>
      <c r="AZ301" t="s">
        <v>1087</v>
      </c>
      <c r="BA301">
        <v>329</v>
      </c>
      <c r="BB301">
        <v>237</v>
      </c>
      <c r="BC301">
        <v>574</v>
      </c>
      <c r="BD301">
        <v>65</v>
      </c>
      <c r="BE301">
        <v>41</v>
      </c>
      <c r="BF301">
        <v>81</v>
      </c>
      <c r="BG301">
        <v>1</v>
      </c>
      <c r="BH301">
        <v>310</v>
      </c>
      <c r="BI301">
        <v>9</v>
      </c>
      <c r="BJ301">
        <v>1</v>
      </c>
      <c r="BK301" t="s">
        <v>734</v>
      </c>
      <c r="BL301">
        <f>HYPERLINK(".\links\GO\TI-241-GO.txt",0.0007)</f>
        <v>6.9999999999999999E-4</v>
      </c>
      <c r="BM301" t="s">
        <v>586</v>
      </c>
      <c r="BN301" t="s">
        <v>330</v>
      </c>
      <c r="BO301" t="s">
        <v>587</v>
      </c>
      <c r="BP301" t="s">
        <v>588</v>
      </c>
      <c r="BQ301">
        <v>6.9999999999999999E-4</v>
      </c>
      <c r="BR301" t="s">
        <v>8</v>
      </c>
      <c r="BS301" t="s">
        <v>8</v>
      </c>
      <c r="BT301" t="s">
        <v>8</v>
      </c>
      <c r="BU301" t="s">
        <v>8</v>
      </c>
      <c r="BV301" t="s">
        <v>8</v>
      </c>
      <c r="BW301" t="s">
        <v>8</v>
      </c>
      <c r="BX301" t="s">
        <v>8</v>
      </c>
      <c r="BY301" t="s">
        <v>8</v>
      </c>
      <c r="BZ301" t="s">
        <v>8</v>
      </c>
      <c r="CA301" t="s">
        <v>8</v>
      </c>
      <c r="CB301" t="s">
        <v>8</v>
      </c>
      <c r="CC301"/>
      <c r="CD301"/>
      <c r="CE301" t="s">
        <v>8</v>
      </c>
      <c r="CF301"/>
      <c r="CG301"/>
      <c r="CH301" t="s">
        <v>8</v>
      </c>
      <c r="CI301"/>
      <c r="CJ301" t="s">
        <v>8</v>
      </c>
      <c r="CK301"/>
      <c r="CL301" t="s">
        <v>8</v>
      </c>
      <c r="CM301"/>
      <c r="CN301" t="s">
        <v>8</v>
      </c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 t="s">
        <v>8</v>
      </c>
      <c r="DC301"/>
      <c r="DD301"/>
      <c r="DE301"/>
      <c r="DF301"/>
      <c r="DG301"/>
      <c r="DH301"/>
      <c r="DI301"/>
      <c r="DJ301"/>
      <c r="DK301"/>
      <c r="DL301"/>
      <c r="DM301"/>
      <c r="DN301"/>
      <c r="DO301"/>
    </row>
    <row r="302" spans="1:119" s="4" customFormat="1">
      <c r="A302" s="6" t="str">
        <f>HYPERLINK(".\links\pep\TI-240-pep.txt","TI-240")</f>
        <v>TI-240</v>
      </c>
      <c r="B302" s="6">
        <v>240</v>
      </c>
      <c r="C302" s="6" t="s">
        <v>13</v>
      </c>
      <c r="D302" s="6">
        <v>44</v>
      </c>
      <c r="E302" s="6">
        <v>0</v>
      </c>
      <c r="F302" s="6" t="str">
        <f>HYPERLINK(".\links\cds\TI-240-cds.txt","TI-240")</f>
        <v>TI-240</v>
      </c>
      <c r="G302" s="6">
        <v>135</v>
      </c>
      <c r="H302" s="6"/>
      <c r="I302" s="6" t="s">
        <v>8</v>
      </c>
      <c r="J302" s="6" t="s">
        <v>6</v>
      </c>
      <c r="K302" s="6">
        <v>2</v>
      </c>
      <c r="L302" s="6">
        <v>0</v>
      </c>
      <c r="M302" s="6">
        <f t="shared" si="5"/>
        <v>2</v>
      </c>
      <c r="N302" s="6" t="s">
        <v>1170</v>
      </c>
      <c r="O302" s="6" t="s">
        <v>1171</v>
      </c>
      <c r="P302" s="6"/>
      <c r="Q302" s="6"/>
      <c r="R302" s="6"/>
      <c r="S302" s="6" t="s">
        <v>8</v>
      </c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 t="s">
        <v>8</v>
      </c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 t="s">
        <v>8</v>
      </c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 t="s">
        <v>8</v>
      </c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 t="s">
        <v>8</v>
      </c>
      <c r="CC302" s="6"/>
      <c r="CD302" s="6"/>
      <c r="CE302" s="6" t="s">
        <v>8</v>
      </c>
      <c r="CF302" s="6"/>
      <c r="CG302" s="6"/>
      <c r="CH302" s="6" t="s">
        <v>8</v>
      </c>
      <c r="CI302" s="6"/>
      <c r="CJ302" s="6" t="s">
        <v>8</v>
      </c>
      <c r="CK302" s="6"/>
      <c r="CL302" s="6" t="s">
        <v>8</v>
      </c>
      <c r="CM302" s="6"/>
      <c r="CN302" s="6" t="s">
        <v>8</v>
      </c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 t="s">
        <v>8</v>
      </c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</row>
    <row r="303" spans="1:119" s="4" customFormat="1">
      <c r="A303" s="6" t="str">
        <f>HYPERLINK(".\links\pep\TI-24-pep.txt","TI-24")</f>
        <v>TI-24</v>
      </c>
      <c r="B303" s="6">
        <v>24</v>
      </c>
      <c r="C303" s="6" t="s">
        <v>12</v>
      </c>
      <c r="D303" s="6">
        <v>34</v>
      </c>
      <c r="E303" s="7">
        <v>2.941176</v>
      </c>
      <c r="F303" s="6" t="str">
        <f>HYPERLINK(".\links\cds\TI-24-cds.txt","TI-24")</f>
        <v>TI-24</v>
      </c>
      <c r="G303" s="6">
        <v>105</v>
      </c>
      <c r="H303" s="6"/>
      <c r="I303" s="6" t="s">
        <v>8</v>
      </c>
      <c r="J303" s="6" t="s">
        <v>6</v>
      </c>
      <c r="K303" s="6">
        <v>1</v>
      </c>
      <c r="L303" s="6">
        <v>0</v>
      </c>
      <c r="M303" s="6">
        <f t="shared" si="5"/>
        <v>1</v>
      </c>
      <c r="N303" s="6" t="s">
        <v>1170</v>
      </c>
      <c r="O303" s="6" t="s">
        <v>1171</v>
      </c>
      <c r="P303" s="6"/>
      <c r="Q303" s="6"/>
      <c r="R303" s="6"/>
      <c r="S303" s="6" t="s">
        <v>8</v>
      </c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 t="s">
        <v>8</v>
      </c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 t="s">
        <v>8</v>
      </c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 t="s">
        <v>8</v>
      </c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 t="s">
        <v>8</v>
      </c>
      <c r="CC303" s="6"/>
      <c r="CD303" s="6"/>
      <c r="CE303" s="6" t="s">
        <v>8</v>
      </c>
      <c r="CF303" s="6"/>
      <c r="CG303" s="6"/>
      <c r="CH303" s="6" t="s">
        <v>8</v>
      </c>
      <c r="CI303" s="6"/>
      <c r="CJ303" s="6" t="s">
        <v>8</v>
      </c>
      <c r="CK303" s="6"/>
      <c r="CL303" s="6" t="s">
        <v>8</v>
      </c>
      <c r="CM303" s="6"/>
      <c r="CN303" s="6" t="s">
        <v>8</v>
      </c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 t="s">
        <v>8</v>
      </c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</row>
    <row r="304" spans="1:119" s="4" customFormat="1">
      <c r="A304" s="6" t="str">
        <f>HYPERLINK(".\links\pep\TI-239-pep.txt","TI-239")</f>
        <v>TI-239</v>
      </c>
      <c r="B304" s="6">
        <v>239</v>
      </c>
      <c r="C304" s="6" t="s">
        <v>27</v>
      </c>
      <c r="D304" s="6">
        <v>42</v>
      </c>
      <c r="E304" s="6">
        <v>0</v>
      </c>
      <c r="F304" s="6" t="str">
        <f>HYPERLINK(".\links\cds\TI-239-cds.txt","TI-239")</f>
        <v>TI-239</v>
      </c>
      <c r="G304" s="6">
        <v>129</v>
      </c>
      <c r="H304" s="6"/>
      <c r="I304" s="6" t="s">
        <v>8</v>
      </c>
      <c r="J304" s="6" t="s">
        <v>6</v>
      </c>
      <c r="K304" s="6">
        <v>3</v>
      </c>
      <c r="L304" s="6">
        <v>0</v>
      </c>
      <c r="M304" s="6">
        <f t="shared" si="5"/>
        <v>3</v>
      </c>
      <c r="N304" s="6" t="s">
        <v>1170</v>
      </c>
      <c r="O304" s="6" t="s">
        <v>1171</v>
      </c>
      <c r="P304" s="6"/>
      <c r="Q304" s="6"/>
      <c r="R304" s="6"/>
      <c r="S304" s="6" t="s">
        <v>8</v>
      </c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 t="s">
        <v>8</v>
      </c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 t="s">
        <v>8</v>
      </c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 t="s">
        <v>8</v>
      </c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 t="s">
        <v>8</v>
      </c>
      <c r="CC304" s="6"/>
      <c r="CD304" s="6"/>
      <c r="CE304" s="6" t="s">
        <v>8</v>
      </c>
      <c r="CF304" s="6"/>
      <c r="CG304" s="6"/>
      <c r="CH304" s="6" t="s">
        <v>8</v>
      </c>
      <c r="CI304" s="6"/>
      <c r="CJ304" s="6" t="s">
        <v>8</v>
      </c>
      <c r="CK304" s="6"/>
      <c r="CL304" s="6" t="s">
        <v>8</v>
      </c>
      <c r="CM304" s="6"/>
      <c r="CN304" s="6" t="str">
        <f>HYPERLINK(".\links\MIT-PLA\TI-239-MIT-PLA.txt","Triatoma infestans clone TI-67 NADH dehydrogenase subunit 6 mRNA, complete cds;")</f>
        <v>Triatoma infestans clone TI-67 NADH dehydrogenase subunit 6 mRNA, complete cds;</v>
      </c>
      <c r="CO304" s="6" t="str">
        <f>HYPERLINK("http://www.ncbi.nlm.nih.gov/entrez/viewer.fcgi?db=nucleotide&amp;val=149898873","2E-047")</f>
        <v>2E-047</v>
      </c>
      <c r="CP304" s="6" t="str">
        <f>HYPERLINK("http://www.ncbi.nlm.nih.gov/entrez/viewer.fcgi?db=nucleotide&amp;val=149898873","gi|149898873")</f>
        <v>gi|149898873</v>
      </c>
      <c r="CQ304" s="6">
        <v>182</v>
      </c>
      <c r="CR304" s="6">
        <v>95</v>
      </c>
      <c r="CS304" s="6">
        <v>456</v>
      </c>
      <c r="CT304" s="6">
        <v>98</v>
      </c>
      <c r="CU304" s="6">
        <v>21</v>
      </c>
      <c r="CV304" s="6">
        <v>1</v>
      </c>
      <c r="CW304" s="6">
        <v>0</v>
      </c>
      <c r="CX304" s="6">
        <v>1</v>
      </c>
      <c r="CY304" s="6">
        <v>34</v>
      </c>
      <c r="CZ304" s="6">
        <v>1</v>
      </c>
      <c r="DA304" s="6" t="s">
        <v>51</v>
      </c>
      <c r="DB304" s="6" t="s">
        <v>8</v>
      </c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</row>
    <row r="305" spans="1:119" s="4" customFormat="1">
      <c r="A305" t="str">
        <f>HYPERLINK(".\links\pep\TI-234-pep.txt","TI-234")</f>
        <v>TI-234</v>
      </c>
      <c r="B305">
        <v>234</v>
      </c>
      <c r="C305" t="s">
        <v>7</v>
      </c>
      <c r="D305">
        <v>155</v>
      </c>
      <c r="E305">
        <v>0</v>
      </c>
      <c r="F305" t="str">
        <f>HYPERLINK(".\links\cds\TI-234-cds.txt","TI-234")</f>
        <v>TI-234</v>
      </c>
      <c r="G305">
        <v>463</v>
      </c>
      <c r="H305"/>
      <c r="I305" t="s">
        <v>29</v>
      </c>
      <c r="J305" t="s">
        <v>8</v>
      </c>
      <c r="K305">
        <v>1</v>
      </c>
      <c r="L305">
        <v>0</v>
      </c>
      <c r="M305">
        <f t="shared" si="5"/>
        <v>1</v>
      </c>
      <c r="N305" t="s">
        <v>1211</v>
      </c>
      <c r="O305" t="s">
        <v>1169</v>
      </c>
      <c r="P305" t="str">
        <f>HYPERLINK(".\links\NR-LIGHT\TI-234-NR-LIGHT.txt","NR-LIGHT")</f>
        <v>NR-LIGHT</v>
      </c>
      <c r="Q305" s="3">
        <v>2.0000000000000001E-54</v>
      </c>
      <c r="R305">
        <v>61</v>
      </c>
      <c r="S305" t="str">
        <f>HYPERLINK(".\links\NR-LIGHT\TI-234-NR-LIGHT.txt","eukaryotic translation initiation factor 3 subunit, putative")</f>
        <v>eukaryotic translation initiation factor 3 subunit, putative</v>
      </c>
      <c r="T305" t="str">
        <f>HYPERLINK("http://www.ncbi.nlm.nih.gov/sutils/blink.cgi?pid=242021197","2E-054")</f>
        <v>2E-054</v>
      </c>
      <c r="U305" t="str">
        <f>HYPERLINK("http://www.ncbi.nlm.nih.gov/protein/242021197","gi|242021197")</f>
        <v>gi|242021197</v>
      </c>
      <c r="V305">
        <v>213</v>
      </c>
      <c r="W305">
        <v>209</v>
      </c>
      <c r="X305">
        <v>344</v>
      </c>
      <c r="Y305">
        <v>51</v>
      </c>
      <c r="Z305">
        <v>61</v>
      </c>
      <c r="AA305">
        <v>102</v>
      </c>
      <c r="AB305">
        <v>55</v>
      </c>
      <c r="AC305">
        <v>2</v>
      </c>
      <c r="AD305">
        <v>1</v>
      </c>
      <c r="AE305">
        <v>1</v>
      </c>
      <c r="AF305"/>
      <c r="AG305" t="s">
        <v>13</v>
      </c>
      <c r="AH305" t="s">
        <v>51</v>
      </c>
      <c r="AI305" t="s">
        <v>268</v>
      </c>
      <c r="AJ305" t="str">
        <f>HYPERLINK(".\links\SWISSP\TI-234-SWISSP.txt","Eukaryotic translation initiation factor 3 subunit H OS=Bombyx mori PE=2 SV=1")</f>
        <v>Eukaryotic translation initiation factor 3 subunit H OS=Bombyx mori PE=2 SV=1</v>
      </c>
      <c r="AK305" t="str">
        <f>HYPERLINK("http://www.uniprot.org/uniprot/Q9GV27","1E-053")</f>
        <v>1E-053</v>
      </c>
      <c r="AL305" t="s">
        <v>171</v>
      </c>
      <c r="AM305">
        <v>208</v>
      </c>
      <c r="AN305">
        <v>208</v>
      </c>
      <c r="AO305">
        <v>337</v>
      </c>
      <c r="AP305">
        <v>52</v>
      </c>
      <c r="AQ305">
        <v>62</v>
      </c>
      <c r="AR305">
        <v>100</v>
      </c>
      <c r="AS305">
        <v>55</v>
      </c>
      <c r="AT305">
        <v>9</v>
      </c>
      <c r="AU305">
        <v>2</v>
      </c>
      <c r="AV305">
        <v>1</v>
      </c>
      <c r="AW305" t="s">
        <v>54</v>
      </c>
      <c r="AX305" t="str">
        <f>HYPERLINK(".\links\PREV-RHOD-PEP\TI-234-PREV-RHOD-PEP.txt","Contig18047_205")</f>
        <v>Contig18047_205</v>
      </c>
      <c r="AY305" s="3">
        <v>5.9999999999999998E-78</v>
      </c>
      <c r="AZ305" t="s">
        <v>1086</v>
      </c>
      <c r="BA305">
        <v>285</v>
      </c>
      <c r="BB305">
        <v>210</v>
      </c>
      <c r="BC305">
        <v>326</v>
      </c>
      <c r="BD305">
        <v>70</v>
      </c>
      <c r="BE305">
        <v>65</v>
      </c>
      <c r="BF305">
        <v>62</v>
      </c>
      <c r="BG305">
        <v>56</v>
      </c>
      <c r="BH305">
        <v>1</v>
      </c>
      <c r="BI305">
        <v>1</v>
      </c>
      <c r="BJ305">
        <v>1</v>
      </c>
      <c r="BK305" t="s">
        <v>731</v>
      </c>
      <c r="BL305">
        <f>HYPERLINK(".\links\GO\TI-234-GO.txt",5E-51)</f>
        <v>5E-51</v>
      </c>
      <c r="BM305" t="s">
        <v>634</v>
      </c>
      <c r="BN305" t="s">
        <v>635</v>
      </c>
      <c r="BO305" t="s">
        <v>636</v>
      </c>
      <c r="BP305" t="s">
        <v>637</v>
      </c>
      <c r="BQ305" s="3">
        <v>5E-51</v>
      </c>
      <c r="BR305" t="s">
        <v>638</v>
      </c>
      <c r="BS305" t="s">
        <v>323</v>
      </c>
      <c r="BT305" t="s">
        <v>334</v>
      </c>
      <c r="BU305" t="s">
        <v>639</v>
      </c>
      <c r="BV305" s="3">
        <v>5E-51</v>
      </c>
      <c r="BW305" t="s">
        <v>732</v>
      </c>
      <c r="BX305" t="s">
        <v>635</v>
      </c>
      <c r="BY305" t="s">
        <v>636</v>
      </c>
      <c r="BZ305" t="s">
        <v>733</v>
      </c>
      <c r="CA305" s="3">
        <v>5E-51</v>
      </c>
      <c r="CB305" t="s">
        <v>8</v>
      </c>
      <c r="CC305"/>
      <c r="CD305"/>
      <c r="CE305" t="s">
        <v>8</v>
      </c>
      <c r="CF305"/>
      <c r="CG305"/>
      <c r="CH305" t="s">
        <v>8</v>
      </c>
      <c r="CI305"/>
      <c r="CJ305" t="s">
        <v>8</v>
      </c>
      <c r="CK305"/>
      <c r="CL305" t="s">
        <v>8</v>
      </c>
      <c r="CM305"/>
      <c r="CN305" t="s">
        <v>8</v>
      </c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 t="s">
        <v>8</v>
      </c>
      <c r="DC305"/>
      <c r="DD305"/>
      <c r="DE305"/>
      <c r="DF305"/>
      <c r="DG305"/>
      <c r="DH305"/>
      <c r="DI305"/>
      <c r="DJ305"/>
      <c r="DK305"/>
      <c r="DL305"/>
      <c r="DM305"/>
      <c r="DN305"/>
      <c r="DO305"/>
    </row>
    <row r="306" spans="1:119" s="4" customFormat="1">
      <c r="A306" s="6" t="str">
        <f>HYPERLINK(".\links\pep\TI-232-pep.txt","TI-232")</f>
        <v>TI-232</v>
      </c>
      <c r="B306" s="6">
        <v>232</v>
      </c>
      <c r="C306" s="6" t="s">
        <v>10</v>
      </c>
      <c r="D306" s="6">
        <v>24</v>
      </c>
      <c r="E306" s="6">
        <v>0</v>
      </c>
      <c r="F306" s="6" t="str">
        <f>HYPERLINK(".\links\cds\TI-232-cds.txt","TI-232")</f>
        <v>TI-232</v>
      </c>
      <c r="G306" s="6">
        <v>75</v>
      </c>
      <c r="H306" s="6"/>
      <c r="I306" s="6" t="s">
        <v>8</v>
      </c>
      <c r="J306" s="6" t="s">
        <v>6</v>
      </c>
      <c r="K306" s="6">
        <v>1</v>
      </c>
      <c r="L306" s="6">
        <v>0</v>
      </c>
      <c r="M306" s="6">
        <f t="shared" si="5"/>
        <v>1</v>
      </c>
      <c r="N306" s="6" t="s">
        <v>1170</v>
      </c>
      <c r="O306" s="6" t="s">
        <v>1171</v>
      </c>
      <c r="P306" s="6"/>
      <c r="Q306" s="6"/>
      <c r="R306" s="6"/>
      <c r="S306" s="6" t="s">
        <v>8</v>
      </c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 t="s">
        <v>8</v>
      </c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 t="s">
        <v>8</v>
      </c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 t="s">
        <v>8</v>
      </c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 t="s">
        <v>8</v>
      </c>
      <c r="CC306" s="6"/>
      <c r="CD306" s="6"/>
      <c r="CE306" s="6" t="s">
        <v>8</v>
      </c>
      <c r="CF306" s="6"/>
      <c r="CG306" s="6"/>
      <c r="CH306" s="6" t="s">
        <v>8</v>
      </c>
      <c r="CI306" s="6"/>
      <c r="CJ306" s="6" t="s">
        <v>8</v>
      </c>
      <c r="CK306" s="6"/>
      <c r="CL306" s="6" t="s">
        <v>8</v>
      </c>
      <c r="CM306" s="6"/>
      <c r="CN306" s="6" t="s">
        <v>8</v>
      </c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 t="s">
        <v>8</v>
      </c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</row>
    <row r="307" spans="1:119" s="4" customFormat="1">
      <c r="A307" t="str">
        <f>HYPERLINK(".\links\pep\TI-230-pep.txt","TI-230")</f>
        <v>TI-230</v>
      </c>
      <c r="B307">
        <v>230</v>
      </c>
      <c r="C307" t="s">
        <v>7</v>
      </c>
      <c r="D307">
        <v>200</v>
      </c>
      <c r="E307">
        <v>0</v>
      </c>
      <c r="F307" t="str">
        <f>HYPERLINK(".\links\cds\TI-230-cds.txt","TI-230")</f>
        <v>TI-230</v>
      </c>
      <c r="G307">
        <v>599</v>
      </c>
      <c r="H307"/>
      <c r="I307" t="s">
        <v>29</v>
      </c>
      <c r="J307" t="s">
        <v>8</v>
      </c>
      <c r="K307">
        <v>2</v>
      </c>
      <c r="L307">
        <v>0</v>
      </c>
      <c r="M307">
        <f t="shared" si="5"/>
        <v>2</v>
      </c>
      <c r="N307" t="s">
        <v>1209</v>
      </c>
      <c r="O307" t="s">
        <v>1210</v>
      </c>
      <c r="P307" t="str">
        <f>HYPERLINK(".\links\NR-LIGHT\TI-230-NR-LIGHT.txt","NR-LIGHT")</f>
        <v>NR-LIGHT</v>
      </c>
      <c r="Q307" s="3">
        <v>1.9999999999999999E-81</v>
      </c>
      <c r="R307">
        <v>49.7</v>
      </c>
      <c r="S307" t="str">
        <f>HYPERLINK(".\links\NR-LIGHT\TI-230-NR-LIGHT.txt","infestin 1-7 precursor")</f>
        <v>infestin 1-7 precursor</v>
      </c>
      <c r="T307" t="str">
        <f>HYPERLINK("http://www.ncbi.nlm.nih.gov/sutils/blink.cgi?pid=83637828","1E-111")</f>
        <v>1E-111</v>
      </c>
      <c r="U307" t="str">
        <f>HYPERLINK("http://www.ncbi.nlm.nih.gov/protein/83637828","gi|83637828")</f>
        <v>gi|83637828</v>
      </c>
      <c r="V307">
        <v>404</v>
      </c>
      <c r="W307">
        <v>405</v>
      </c>
      <c r="X307">
        <v>409</v>
      </c>
      <c r="Y307">
        <v>98</v>
      </c>
      <c r="Z307">
        <v>99</v>
      </c>
      <c r="AA307">
        <v>3</v>
      </c>
      <c r="AB307">
        <v>0</v>
      </c>
      <c r="AC307">
        <v>1</v>
      </c>
      <c r="AD307">
        <v>1</v>
      </c>
      <c r="AE307">
        <v>4</v>
      </c>
      <c r="AF307"/>
      <c r="AG307" t="s">
        <v>13</v>
      </c>
      <c r="AH307" t="s">
        <v>51</v>
      </c>
      <c r="AI307" t="s">
        <v>273</v>
      </c>
      <c r="AJ307" t="str">
        <f>HYPERLINK(".\links\SWISSP\TI-230-SWISSP.txt","Serine protease inhibitor dipetalogastin (Fragment) OS=Dipetalogaster maximus")</f>
        <v>Serine protease inhibitor dipetalogastin (Fragment) OS=Dipetalogaster maximus</v>
      </c>
      <c r="AK307" t="str">
        <f>HYPERLINK("http://www.uniprot.org/uniprot/O96790","2E-052")</f>
        <v>2E-052</v>
      </c>
      <c r="AL307" t="s">
        <v>169</v>
      </c>
      <c r="AM307">
        <v>205</v>
      </c>
      <c r="AN307">
        <v>344</v>
      </c>
      <c r="AO307">
        <v>351</v>
      </c>
      <c r="AP307">
        <v>60</v>
      </c>
      <c r="AQ307">
        <v>98</v>
      </c>
      <c r="AR307">
        <v>71</v>
      </c>
      <c r="AS307">
        <v>5</v>
      </c>
      <c r="AT307">
        <v>7</v>
      </c>
      <c r="AU307">
        <v>23</v>
      </c>
      <c r="AV307">
        <v>3</v>
      </c>
      <c r="AW307" t="s">
        <v>170</v>
      </c>
      <c r="AX307" t="str">
        <f>HYPERLINK(".\links\PREV-RHOD-PEP\TI-230-PREV-RHOD-PEP.txt","Contig17791_8")</f>
        <v>Contig17791_8</v>
      </c>
      <c r="AY307" s="3">
        <v>4.0000000000000003E-31</v>
      </c>
      <c r="AZ307" t="s">
        <v>1084</v>
      </c>
      <c r="BA307">
        <v>130</v>
      </c>
      <c r="BB307">
        <v>252</v>
      </c>
      <c r="BC307">
        <v>348</v>
      </c>
      <c r="BD307">
        <v>55</v>
      </c>
      <c r="BE307">
        <v>73</v>
      </c>
      <c r="BF307">
        <v>56</v>
      </c>
      <c r="BG307">
        <v>11</v>
      </c>
      <c r="BH307">
        <v>20</v>
      </c>
      <c r="BI307">
        <v>16</v>
      </c>
      <c r="BJ307">
        <v>5</v>
      </c>
      <c r="BK307" t="s">
        <v>720</v>
      </c>
      <c r="BL307">
        <f>HYPERLINK(".\links\GO\TI-230-GO.txt",0.000000000007)</f>
        <v>7.0000000000000001E-12</v>
      </c>
      <c r="BM307" t="s">
        <v>721</v>
      </c>
      <c r="BN307" t="s">
        <v>444</v>
      </c>
      <c r="BO307" t="s">
        <v>445</v>
      </c>
      <c r="BP307" t="s">
        <v>722</v>
      </c>
      <c r="BQ307">
        <v>7.0000000000000001E-12</v>
      </c>
      <c r="BR307" t="s">
        <v>723</v>
      </c>
      <c r="BS307" t="s">
        <v>323</v>
      </c>
      <c r="BT307" t="s">
        <v>724</v>
      </c>
      <c r="BU307" t="s">
        <v>725</v>
      </c>
      <c r="BV307">
        <v>7.0000000000000001E-12</v>
      </c>
      <c r="BW307" t="s">
        <v>726</v>
      </c>
      <c r="BX307" t="s">
        <v>444</v>
      </c>
      <c r="BY307" t="s">
        <v>445</v>
      </c>
      <c r="BZ307" t="s">
        <v>727</v>
      </c>
      <c r="CA307">
        <v>7.0000000000000001E-12</v>
      </c>
      <c r="CB307" t="s">
        <v>8</v>
      </c>
      <c r="CC307"/>
      <c r="CD307"/>
      <c r="CE307" t="s">
        <v>8</v>
      </c>
      <c r="CF307"/>
      <c r="CG307"/>
      <c r="CH307" t="s">
        <v>8</v>
      </c>
      <c r="CI307"/>
      <c r="CJ307" t="s">
        <v>8</v>
      </c>
      <c r="CK307"/>
      <c r="CL307" t="s">
        <v>8</v>
      </c>
      <c r="CM307"/>
      <c r="CN307" t="s">
        <v>8</v>
      </c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 t="s">
        <v>8</v>
      </c>
      <c r="DC307"/>
      <c r="DD307"/>
      <c r="DE307"/>
      <c r="DF307"/>
      <c r="DG307"/>
      <c r="DH307"/>
      <c r="DI307"/>
      <c r="DJ307"/>
      <c r="DK307"/>
      <c r="DL307"/>
      <c r="DM307"/>
      <c r="DN307"/>
      <c r="DO307"/>
    </row>
    <row r="308" spans="1:119" s="4" customFormat="1">
      <c r="A308" t="str">
        <f>HYPERLINK(".\links\pep\TI-23-pep.txt","TI-23")</f>
        <v>TI-23</v>
      </c>
      <c r="B308">
        <v>23</v>
      </c>
      <c r="C308" t="s">
        <v>12</v>
      </c>
      <c r="D308">
        <v>289</v>
      </c>
      <c r="E308">
        <v>0</v>
      </c>
      <c r="F308" t="str">
        <f>HYPERLINK(".\links\cds\TI-23-cds.txt","TI-23")</f>
        <v>TI-23</v>
      </c>
      <c r="G308">
        <v>870</v>
      </c>
      <c r="H308"/>
      <c r="I308" t="s">
        <v>8</v>
      </c>
      <c r="J308" t="s">
        <v>6</v>
      </c>
      <c r="K308">
        <v>1</v>
      </c>
      <c r="L308">
        <v>0</v>
      </c>
      <c r="M308">
        <f t="shared" si="5"/>
        <v>1</v>
      </c>
      <c r="N308" t="s">
        <v>1179</v>
      </c>
      <c r="O308" t="s">
        <v>1178</v>
      </c>
      <c r="P308" t="str">
        <f>HYPERLINK(".\links\NR-LIGHT\TI-23-NR-LIGHT.txt","NR-LIGHT")</f>
        <v>NR-LIGHT</v>
      </c>
      <c r="Q308" s="3">
        <v>2.0000000000000001E-56</v>
      </c>
      <c r="R308">
        <v>44.4</v>
      </c>
      <c r="S308" t="str">
        <f>HYPERLINK(".\links\NR-LIGHT\TI-23-NR-LIGHT.txt","hypothetical mucin")</f>
        <v>hypothetical mucin</v>
      </c>
      <c r="T308" t="str">
        <f>HYPERLINK("http://www.ncbi.nlm.nih.gov/sutils/blink.cgi?pid=307095162","2E-056")</f>
        <v>2E-056</v>
      </c>
      <c r="U308" t="str">
        <f>HYPERLINK("http://www.ncbi.nlm.nih.gov/protein/307095162","gi|307095162")</f>
        <v>gi|307095162</v>
      </c>
      <c r="V308">
        <v>221</v>
      </c>
      <c r="W308">
        <v>127</v>
      </c>
      <c r="X308">
        <v>288</v>
      </c>
      <c r="Y308">
        <v>90</v>
      </c>
      <c r="Z308">
        <v>44</v>
      </c>
      <c r="AA308">
        <v>12</v>
      </c>
      <c r="AB308">
        <v>1</v>
      </c>
      <c r="AC308">
        <v>161</v>
      </c>
      <c r="AD308">
        <v>1</v>
      </c>
      <c r="AE308">
        <v>1</v>
      </c>
      <c r="AF308"/>
      <c r="AG308" t="s">
        <v>13</v>
      </c>
      <c r="AH308" t="s">
        <v>51</v>
      </c>
      <c r="AI308" t="s">
        <v>278</v>
      </c>
      <c r="AJ308" t="str">
        <f>HYPERLINK(".\links\SWISSP\TI-23-SWISSP.txt","Formin-binding protein 4 OS=Homo sapiens GN=FNBP4 PE=1 SV=3")</f>
        <v>Formin-binding protein 4 OS=Homo sapiens GN=FNBP4 PE=1 SV=3</v>
      </c>
      <c r="AK308" t="str">
        <f>HYPERLINK("http://www.uniprot.org/uniprot/Q8N3X1","8E-006")</f>
        <v>8E-006</v>
      </c>
      <c r="AL308" t="s">
        <v>116</v>
      </c>
      <c r="AM308">
        <v>51.2</v>
      </c>
      <c r="AN308">
        <v>82</v>
      </c>
      <c r="AO308">
        <v>1017</v>
      </c>
      <c r="AP308">
        <v>27</v>
      </c>
      <c r="AQ308">
        <v>8</v>
      </c>
      <c r="AR308">
        <v>60</v>
      </c>
      <c r="AS308">
        <v>0</v>
      </c>
      <c r="AT308">
        <v>525</v>
      </c>
      <c r="AU308">
        <v>150</v>
      </c>
      <c r="AV308">
        <v>1</v>
      </c>
      <c r="AW308" t="s">
        <v>68</v>
      </c>
      <c r="AX308" t="str">
        <f>HYPERLINK(".\links\PREV-RHOD-PEP\TI-23-PREV-RHOD-PEP.txt","Contig17850_27")</f>
        <v>Contig17850_27</v>
      </c>
      <c r="AY308" s="3">
        <v>3.9999999999999997E-65</v>
      </c>
      <c r="AZ308" t="s">
        <v>1031</v>
      </c>
      <c r="BA308">
        <v>244</v>
      </c>
      <c r="BB308">
        <v>182</v>
      </c>
      <c r="BC308">
        <v>260</v>
      </c>
      <c r="BD308">
        <v>68</v>
      </c>
      <c r="BE308">
        <v>70</v>
      </c>
      <c r="BF308">
        <v>60</v>
      </c>
      <c r="BG308">
        <v>10</v>
      </c>
      <c r="BH308">
        <v>76</v>
      </c>
      <c r="BI308">
        <v>1</v>
      </c>
      <c r="BJ308">
        <v>1</v>
      </c>
      <c r="BK308" t="s">
        <v>538</v>
      </c>
      <c r="BL308">
        <f>HYPERLINK(".\links\GO\TI-23-GO.txt",0.000004)</f>
        <v>3.9999999999999998E-6</v>
      </c>
      <c r="BM308" t="s">
        <v>339</v>
      </c>
      <c r="BN308" t="s">
        <v>340</v>
      </c>
      <c r="BO308" t="s">
        <v>341</v>
      </c>
      <c r="BP308" t="s">
        <v>342</v>
      </c>
      <c r="BQ308">
        <v>3.9999999999999998E-6</v>
      </c>
      <c r="BR308" t="s">
        <v>8</v>
      </c>
      <c r="BS308" t="s">
        <v>8</v>
      </c>
      <c r="BT308" t="s">
        <v>8</v>
      </c>
      <c r="BU308" t="s">
        <v>8</v>
      </c>
      <c r="BV308" t="s">
        <v>8</v>
      </c>
      <c r="BW308" t="s">
        <v>8</v>
      </c>
      <c r="BX308" t="s">
        <v>8</v>
      </c>
      <c r="BY308" t="s">
        <v>8</v>
      </c>
      <c r="BZ308" t="s">
        <v>8</v>
      </c>
      <c r="CA308" t="s">
        <v>8</v>
      </c>
      <c r="CB308" t="s">
        <v>8</v>
      </c>
      <c r="CC308"/>
      <c r="CD308"/>
      <c r="CE308" t="s">
        <v>8</v>
      </c>
      <c r="CF308"/>
      <c r="CG308"/>
      <c r="CH308" t="s">
        <v>8</v>
      </c>
      <c r="CI308"/>
      <c r="CJ308" t="s">
        <v>8</v>
      </c>
      <c r="CK308"/>
      <c r="CL308" t="s">
        <v>8</v>
      </c>
      <c r="CM308"/>
      <c r="CN308" t="s">
        <v>8</v>
      </c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 t="s">
        <v>8</v>
      </c>
      <c r="DC308"/>
      <c r="DD308"/>
      <c r="DE308"/>
      <c r="DF308"/>
      <c r="DG308"/>
      <c r="DH308"/>
      <c r="DI308"/>
      <c r="DJ308"/>
      <c r="DK308"/>
      <c r="DL308"/>
      <c r="DM308"/>
      <c r="DN308"/>
      <c r="DO308"/>
    </row>
    <row r="309" spans="1:119" s="4" customFormat="1">
      <c r="A309" t="str">
        <f>HYPERLINK(".\links\pep\TI-227-pep.txt","TI-227")</f>
        <v>TI-227</v>
      </c>
      <c r="B309">
        <v>227</v>
      </c>
      <c r="C309" t="s">
        <v>7</v>
      </c>
      <c r="D309">
        <v>139</v>
      </c>
      <c r="E309">
        <v>0</v>
      </c>
      <c r="F309" t="str">
        <f>HYPERLINK(".\links\cds\TI-227-cds.txt","TI-227")</f>
        <v>TI-227</v>
      </c>
      <c r="G309">
        <v>420</v>
      </c>
      <c r="H309"/>
      <c r="I309" t="s">
        <v>29</v>
      </c>
      <c r="J309" t="s">
        <v>6</v>
      </c>
      <c r="K309">
        <v>1</v>
      </c>
      <c r="L309">
        <v>0</v>
      </c>
      <c r="M309">
        <f t="shared" si="5"/>
        <v>1</v>
      </c>
      <c r="N309" t="s">
        <v>1300</v>
      </c>
      <c r="O309" t="s">
        <v>1208</v>
      </c>
      <c r="P309" t="str">
        <f>HYPERLINK(".\links\GO\TI-227-GO.txt","GO")</f>
        <v>GO</v>
      </c>
      <c r="Q309" s="3">
        <v>9.9999999999999995E-21</v>
      </c>
      <c r="R309">
        <v>100</v>
      </c>
      <c r="S309" t="str">
        <f>HYPERLINK(".\links\NR-LIGHT\TI-227-NR-LIGHT.txt","lysozyme 2")</f>
        <v>lysozyme 2</v>
      </c>
      <c r="T309" t="str">
        <f>HYPERLINK("http://www.ncbi.nlm.nih.gov/sutils/blink.cgi?pid=115338587","2E-063")</f>
        <v>2E-063</v>
      </c>
      <c r="U309" t="str">
        <f>HYPERLINK("http://www.ncbi.nlm.nih.gov/protein/115338587","gi|115338587")</f>
        <v>gi|115338587</v>
      </c>
      <c r="V309">
        <v>243</v>
      </c>
      <c r="W309">
        <v>125</v>
      </c>
      <c r="X309">
        <v>139</v>
      </c>
      <c r="Y309">
        <v>92</v>
      </c>
      <c r="Z309">
        <v>91</v>
      </c>
      <c r="AA309">
        <v>10</v>
      </c>
      <c r="AB309">
        <v>0</v>
      </c>
      <c r="AC309">
        <v>14</v>
      </c>
      <c r="AD309">
        <v>14</v>
      </c>
      <c r="AE309">
        <v>1</v>
      </c>
      <c r="AF309"/>
      <c r="AG309" t="s">
        <v>13</v>
      </c>
      <c r="AH309" t="s">
        <v>51</v>
      </c>
      <c r="AI309" t="s">
        <v>273</v>
      </c>
      <c r="AJ309" t="str">
        <f>HYPERLINK(".\links\SWISSP\TI-227-SWISSP.txt","Lysozyme c-1 OS=Anopheles gambiae GN=AGAP007347 PE=2 SV=2")</f>
        <v>Lysozyme c-1 OS=Anopheles gambiae GN=AGAP007347 PE=2 SV=2</v>
      </c>
      <c r="AK309" t="str">
        <f>HYPERLINK("http://www.uniprot.org/uniprot/Q17005","1E-027")</f>
        <v>1E-027</v>
      </c>
      <c r="AL309" t="s">
        <v>168</v>
      </c>
      <c r="AM309">
        <v>121</v>
      </c>
      <c r="AN309">
        <v>135</v>
      </c>
      <c r="AO309">
        <v>140</v>
      </c>
      <c r="AP309">
        <v>40</v>
      </c>
      <c r="AQ309">
        <v>97</v>
      </c>
      <c r="AR309">
        <v>81</v>
      </c>
      <c r="AS309">
        <v>1</v>
      </c>
      <c r="AT309">
        <v>5</v>
      </c>
      <c r="AU309">
        <v>3</v>
      </c>
      <c r="AV309">
        <v>1</v>
      </c>
      <c r="AW309" t="s">
        <v>110</v>
      </c>
      <c r="AX309" t="str">
        <f>HYPERLINK(".\links\PREV-RHOD-PEP\TI-227-PREV-RHOD-PEP.txt","Contig17801_61")</f>
        <v>Contig17801_61</v>
      </c>
      <c r="AY309" s="3">
        <v>8.0000000000000006E-43</v>
      </c>
      <c r="AZ309" t="s">
        <v>1083</v>
      </c>
      <c r="BA309">
        <v>168</v>
      </c>
      <c r="BB309">
        <v>671</v>
      </c>
      <c r="BC309">
        <v>687</v>
      </c>
      <c r="BD309">
        <v>54</v>
      </c>
      <c r="BE309">
        <v>98</v>
      </c>
      <c r="BF309">
        <v>63</v>
      </c>
      <c r="BG309">
        <v>0</v>
      </c>
      <c r="BH309">
        <v>16</v>
      </c>
      <c r="BI309">
        <v>1</v>
      </c>
      <c r="BJ309">
        <v>2</v>
      </c>
      <c r="BK309" t="s">
        <v>717</v>
      </c>
      <c r="BL309">
        <f>HYPERLINK(".\links\GO\TI-227-GO.txt",5E-23)</f>
        <v>5.0000000000000002E-23</v>
      </c>
      <c r="BM309" t="s">
        <v>718</v>
      </c>
      <c r="BN309" t="s">
        <v>345</v>
      </c>
      <c r="BO309" t="s">
        <v>349</v>
      </c>
      <c r="BP309" t="s">
        <v>719</v>
      </c>
      <c r="BQ309" s="3">
        <v>7.0000000000000003E-19</v>
      </c>
      <c r="BR309" t="s">
        <v>8</v>
      </c>
      <c r="BS309" t="s">
        <v>8</v>
      </c>
      <c r="BT309" t="s">
        <v>8</v>
      </c>
      <c r="BU309" t="s">
        <v>8</v>
      </c>
      <c r="BV309" t="s">
        <v>8</v>
      </c>
      <c r="BW309" t="s">
        <v>8</v>
      </c>
      <c r="BX309" t="s">
        <v>8</v>
      </c>
      <c r="BY309" t="s">
        <v>8</v>
      </c>
      <c r="BZ309" t="s">
        <v>8</v>
      </c>
      <c r="CA309" t="s">
        <v>8</v>
      </c>
      <c r="CB309" t="s">
        <v>8</v>
      </c>
      <c r="CC309"/>
      <c r="CD309"/>
      <c r="CE309" t="s">
        <v>8</v>
      </c>
      <c r="CF309"/>
      <c r="CG309"/>
      <c r="CH309" t="s">
        <v>8</v>
      </c>
      <c r="CI309"/>
      <c r="CJ309" t="s">
        <v>8</v>
      </c>
      <c r="CK309"/>
      <c r="CL309" t="s">
        <v>8</v>
      </c>
      <c r="CM309"/>
      <c r="CN309" t="s">
        <v>8</v>
      </c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 t="s">
        <v>8</v>
      </c>
      <c r="DC309"/>
      <c r="DD309"/>
      <c r="DE309"/>
      <c r="DF309"/>
      <c r="DG309"/>
      <c r="DH309"/>
      <c r="DI309"/>
      <c r="DJ309"/>
      <c r="DK309"/>
      <c r="DL309"/>
      <c r="DM309"/>
      <c r="DN309"/>
      <c r="DO309"/>
    </row>
    <row r="310" spans="1:119" s="4" customFormat="1">
      <c r="A310" s="6" t="str">
        <f>HYPERLINK(".\links\pep\TI-223-pep.txt","TI-223")</f>
        <v>TI-223</v>
      </c>
      <c r="B310" s="6">
        <v>223</v>
      </c>
      <c r="C310" s="6" t="s">
        <v>10</v>
      </c>
      <c r="D310" s="6">
        <v>40</v>
      </c>
      <c r="E310" s="6">
        <v>0</v>
      </c>
      <c r="F310" s="6" t="str">
        <f>HYPERLINK(".\links\cds\TI-223-cds.txt","TI-223")</f>
        <v>TI-223</v>
      </c>
      <c r="G310" s="6">
        <v>123</v>
      </c>
      <c r="H310" s="6"/>
      <c r="I310" s="6" t="s">
        <v>8</v>
      </c>
      <c r="J310" s="6" t="s">
        <v>6</v>
      </c>
      <c r="K310" s="6">
        <v>1</v>
      </c>
      <c r="L310" s="6">
        <v>0</v>
      </c>
      <c r="M310" s="6">
        <f t="shared" si="5"/>
        <v>1</v>
      </c>
      <c r="N310" s="6" t="s">
        <v>1170</v>
      </c>
      <c r="O310" s="6" t="s">
        <v>1171</v>
      </c>
      <c r="P310" s="6"/>
      <c r="Q310" s="6"/>
      <c r="R310" s="6"/>
      <c r="S310" s="6" t="s">
        <v>8</v>
      </c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 t="s">
        <v>8</v>
      </c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 t="s">
        <v>8</v>
      </c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 t="s">
        <v>8</v>
      </c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 t="s">
        <v>8</v>
      </c>
      <c r="CC310" s="6"/>
      <c r="CD310" s="6"/>
      <c r="CE310" s="6" t="s">
        <v>8</v>
      </c>
      <c r="CF310" s="6"/>
      <c r="CG310" s="6"/>
      <c r="CH310" s="6" t="s">
        <v>8</v>
      </c>
      <c r="CI310" s="6"/>
      <c r="CJ310" s="6" t="s">
        <v>8</v>
      </c>
      <c r="CK310" s="6"/>
      <c r="CL310" s="6" t="s">
        <v>8</v>
      </c>
      <c r="CM310" s="6"/>
      <c r="CN310" s="6" t="s">
        <v>8</v>
      </c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 t="s">
        <v>8</v>
      </c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</row>
    <row r="311" spans="1:119" s="4" customFormat="1">
      <c r="A311" t="str">
        <f>HYPERLINK(".\links\pep\TI-220-pep.txt","TI-220")</f>
        <v>TI-220</v>
      </c>
      <c r="B311">
        <v>220</v>
      </c>
      <c r="C311" t="s">
        <v>24</v>
      </c>
      <c r="D311">
        <v>150</v>
      </c>
      <c r="E311">
        <v>0</v>
      </c>
      <c r="F311" t="str">
        <f>HYPERLINK(".\links\cds\TI-220-cds.txt","TI-220")</f>
        <v>TI-220</v>
      </c>
      <c r="G311">
        <v>453</v>
      </c>
      <c r="H311"/>
      <c r="I311" t="s">
        <v>8</v>
      </c>
      <c r="J311" t="s">
        <v>6</v>
      </c>
      <c r="K311">
        <v>5</v>
      </c>
      <c r="L311">
        <v>2</v>
      </c>
      <c r="M311">
        <f t="shared" si="5"/>
        <v>3</v>
      </c>
      <c r="N311" t="s">
        <v>1207</v>
      </c>
      <c r="O311" t="s">
        <v>1196</v>
      </c>
      <c r="P311" t="str">
        <f>HYPERLINK(".\links\NR-LIGHT\TI-220-NR-LIGHT.txt","NR-LIGHT")</f>
        <v>NR-LIGHT</v>
      </c>
      <c r="Q311" s="3">
        <v>3.9999999999999996E-21</v>
      </c>
      <c r="R311">
        <v>3.8</v>
      </c>
      <c r="S311" t="str">
        <f>HYPERLINK(".\links\NR-LIGHT\TI-220-NR-LIGHT.txt","polyprotein")</f>
        <v>polyprotein</v>
      </c>
      <c r="T311" t="str">
        <f>HYPERLINK("http://www.ncbi.nlm.nih.gov/sutils/blink.cgi?pid=296005647","4E-021")</f>
        <v>4E-021</v>
      </c>
      <c r="U311" t="str">
        <f>HYPERLINK("http://www.ncbi.nlm.nih.gov/protein/296005647","gi|296005647")</f>
        <v>gi|296005647</v>
      </c>
      <c r="V311">
        <v>102</v>
      </c>
      <c r="W311">
        <v>114</v>
      </c>
      <c r="X311">
        <v>2964</v>
      </c>
      <c r="Y311">
        <v>43</v>
      </c>
      <c r="Z311">
        <v>4</v>
      </c>
      <c r="AA311">
        <v>65</v>
      </c>
      <c r="AB311">
        <v>0</v>
      </c>
      <c r="AC311">
        <v>2849</v>
      </c>
      <c r="AD311">
        <v>9</v>
      </c>
      <c r="AE311">
        <v>1</v>
      </c>
      <c r="AF311"/>
      <c r="AG311" t="s">
        <v>13</v>
      </c>
      <c r="AH311" t="s">
        <v>51</v>
      </c>
      <c r="AI311" t="s">
        <v>286</v>
      </c>
      <c r="AJ311" t="str">
        <f>HYPERLINK(".\links\SWISSP\TI-220-SWISSP.txt","Genome polyprotein OS=Rice tungro spherical virus (strain A) PE=1 SV=1")</f>
        <v>Genome polyprotein OS=Rice tungro spherical virus (strain A) PE=1 SV=1</v>
      </c>
      <c r="AK311" t="str">
        <f>HYPERLINK("http://www.uniprot.org/uniprot/Q83034","2E-006")</f>
        <v>2E-006</v>
      </c>
      <c r="AL311" t="s">
        <v>166</v>
      </c>
      <c r="AM311">
        <v>51.6</v>
      </c>
      <c r="AN311">
        <v>82</v>
      </c>
      <c r="AO311">
        <v>3473</v>
      </c>
      <c r="AP311">
        <v>36</v>
      </c>
      <c r="AQ311">
        <v>2</v>
      </c>
      <c r="AR311">
        <v>53</v>
      </c>
      <c r="AS311">
        <v>0</v>
      </c>
      <c r="AT311">
        <v>3318</v>
      </c>
      <c r="AU311">
        <v>26</v>
      </c>
      <c r="AV311">
        <v>1</v>
      </c>
      <c r="AW311" t="s">
        <v>167</v>
      </c>
      <c r="AX311" t="s">
        <v>8</v>
      </c>
      <c r="AY311"/>
      <c r="AZ311"/>
      <c r="BA311"/>
      <c r="BB311"/>
      <c r="BC311"/>
      <c r="BD311"/>
      <c r="BE311"/>
      <c r="BF311"/>
      <c r="BG311"/>
      <c r="BH311"/>
      <c r="BI311"/>
      <c r="BJ311"/>
      <c r="BK311" t="s">
        <v>8</v>
      </c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 t="s">
        <v>8</v>
      </c>
      <c r="CC311"/>
      <c r="CD311"/>
      <c r="CE311" t="s">
        <v>8</v>
      </c>
      <c r="CF311"/>
      <c r="CG311"/>
      <c r="CH311" t="s">
        <v>8</v>
      </c>
      <c r="CI311"/>
      <c r="CJ311" t="s">
        <v>8</v>
      </c>
      <c r="CK311"/>
      <c r="CL311" t="s">
        <v>8</v>
      </c>
      <c r="CM311"/>
      <c r="CN311" t="s">
        <v>8</v>
      </c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 t="s">
        <v>8</v>
      </c>
      <c r="DC311"/>
      <c r="DD311"/>
      <c r="DE311"/>
      <c r="DF311"/>
      <c r="DG311"/>
      <c r="DH311"/>
      <c r="DI311"/>
      <c r="DJ311"/>
      <c r="DK311"/>
      <c r="DL311"/>
      <c r="DM311"/>
      <c r="DN311"/>
      <c r="DO311"/>
    </row>
    <row r="312" spans="1:119" s="4" customFormat="1">
      <c r="A312" t="str">
        <f>HYPERLINK(".\links\pep\TI-22-pep.txt","TI-22")</f>
        <v>TI-22</v>
      </c>
      <c r="B312">
        <v>22</v>
      </c>
      <c r="C312" t="s">
        <v>27</v>
      </c>
      <c r="D312">
        <v>157</v>
      </c>
      <c r="E312" s="2">
        <v>1.2738849999999999</v>
      </c>
      <c r="F312" t="str">
        <f>HYPERLINK(".\links\cds\TI-22-cds.txt","TI-22")</f>
        <v>TI-22</v>
      </c>
      <c r="G312">
        <v>469</v>
      </c>
      <c r="H312"/>
      <c r="I312" t="s">
        <v>8</v>
      </c>
      <c r="J312" t="s">
        <v>8</v>
      </c>
      <c r="K312">
        <v>1</v>
      </c>
      <c r="L312">
        <v>0</v>
      </c>
      <c r="M312">
        <f t="shared" si="5"/>
        <v>1</v>
      </c>
      <c r="N312" t="s">
        <v>1253</v>
      </c>
      <c r="O312" t="s">
        <v>1173</v>
      </c>
      <c r="P312" t="str">
        <f>HYPERLINK(".\links\GO\TI-22-GO.txt","GO")</f>
        <v>GO</v>
      </c>
      <c r="Q312">
        <v>2.0000000000000001E-13</v>
      </c>
      <c r="R312">
        <v>48.3</v>
      </c>
      <c r="S312" t="str">
        <f>HYPERLINK(".\links\NR-LIGHT\TI-22-NR-LIGHT.txt","similar to GA10597-PA")</f>
        <v>similar to GA10597-PA</v>
      </c>
      <c r="T312" t="str">
        <f>HYPERLINK("http://www.ncbi.nlm.nih.gov/sutils/blink.cgi?pid=156543298","1E-047")</f>
        <v>1E-047</v>
      </c>
      <c r="U312" t="str">
        <f>HYPERLINK("http://www.ncbi.nlm.nih.gov/protein/156543298","gi|156543298")</f>
        <v>gi|156543298</v>
      </c>
      <c r="V312">
        <v>190</v>
      </c>
      <c r="W312">
        <v>155</v>
      </c>
      <c r="X312">
        <v>300</v>
      </c>
      <c r="Y312">
        <v>56</v>
      </c>
      <c r="Z312">
        <v>52</v>
      </c>
      <c r="AA312">
        <v>68</v>
      </c>
      <c r="AB312">
        <v>1</v>
      </c>
      <c r="AC312">
        <v>5</v>
      </c>
      <c r="AD312">
        <v>1</v>
      </c>
      <c r="AE312">
        <v>1</v>
      </c>
      <c r="AF312"/>
      <c r="AG312" t="s">
        <v>13</v>
      </c>
      <c r="AH312" t="s">
        <v>51</v>
      </c>
      <c r="AI312" t="s">
        <v>274</v>
      </c>
      <c r="AJ312" t="str">
        <f>HYPERLINK(".\links\SWISSP\TI-22-SWISSP.txt","Trans-2,3-enoyl-CoA reductase OS=Mus musculus GN=Tecr PE=1 SV=1")</f>
        <v>Trans-2,3-enoyl-CoA reductase OS=Mus musculus GN=Tecr PE=1 SV=1</v>
      </c>
      <c r="AK312" t="str">
        <f>HYPERLINK("http://www.uniprot.org/uniprot/Q9CY27","5E-035")</f>
        <v>5E-035</v>
      </c>
      <c r="AL312" t="s">
        <v>105</v>
      </c>
      <c r="AM312">
        <v>146</v>
      </c>
      <c r="AN312">
        <v>158</v>
      </c>
      <c r="AO312">
        <v>308</v>
      </c>
      <c r="AP312">
        <v>45</v>
      </c>
      <c r="AQ312">
        <v>52</v>
      </c>
      <c r="AR312">
        <v>86</v>
      </c>
      <c r="AS312">
        <v>2</v>
      </c>
      <c r="AT312">
        <v>8</v>
      </c>
      <c r="AU312">
        <v>1</v>
      </c>
      <c r="AV312">
        <v>1</v>
      </c>
      <c r="AW312" t="s">
        <v>87</v>
      </c>
      <c r="AX312" t="str">
        <f>HYPERLINK(".\links\PREV-RHOD-PEP\TI-22-PREV-RHOD-PEP.txt","Contig18032_78")</f>
        <v>Contig18032_78</v>
      </c>
      <c r="AY312" s="3">
        <v>1.9999999999999999E-75</v>
      </c>
      <c r="AZ312" t="s">
        <v>1021</v>
      </c>
      <c r="BA312">
        <v>276</v>
      </c>
      <c r="BB312">
        <v>156</v>
      </c>
      <c r="BC312">
        <v>301</v>
      </c>
      <c r="BD312">
        <v>84</v>
      </c>
      <c r="BE312">
        <v>52</v>
      </c>
      <c r="BF312">
        <v>25</v>
      </c>
      <c r="BG312">
        <v>0</v>
      </c>
      <c r="BH312">
        <v>5</v>
      </c>
      <c r="BI312">
        <v>1</v>
      </c>
      <c r="BJ312">
        <v>1</v>
      </c>
      <c r="BK312" t="s">
        <v>505</v>
      </c>
      <c r="BL312">
        <f>HYPERLINK(".\links\GO\TI-22-GO.txt",2E-21)</f>
        <v>1.9999999999999998E-21</v>
      </c>
      <c r="BM312" t="s">
        <v>373</v>
      </c>
      <c r="BN312" t="s">
        <v>373</v>
      </c>
      <c r="BO312"/>
      <c r="BP312" t="s">
        <v>374</v>
      </c>
      <c r="BQ312" s="3">
        <v>1.9999999999999998E-21</v>
      </c>
      <c r="BR312" t="s">
        <v>322</v>
      </c>
      <c r="BS312" t="s">
        <v>323</v>
      </c>
      <c r="BT312" t="s">
        <v>324</v>
      </c>
      <c r="BU312" t="s">
        <v>325</v>
      </c>
      <c r="BV312" s="3">
        <v>1.9999999999999998E-21</v>
      </c>
      <c r="BW312" t="s">
        <v>380</v>
      </c>
      <c r="BX312" t="s">
        <v>373</v>
      </c>
      <c r="BY312"/>
      <c r="BZ312" t="s">
        <v>381</v>
      </c>
      <c r="CA312" s="3">
        <v>1.9999999999999998E-21</v>
      </c>
      <c r="CB312" t="s">
        <v>8</v>
      </c>
      <c r="CC312"/>
      <c r="CD312"/>
      <c r="CE312" t="s">
        <v>8</v>
      </c>
      <c r="CF312"/>
      <c r="CG312"/>
      <c r="CH312" t="s">
        <v>8</v>
      </c>
      <c r="CI312"/>
      <c r="CJ312" t="s">
        <v>8</v>
      </c>
      <c r="CK312"/>
      <c r="CL312" t="s">
        <v>8</v>
      </c>
      <c r="CM312"/>
      <c r="CN312" t="s">
        <v>8</v>
      </c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 t="s">
        <v>8</v>
      </c>
      <c r="DC312"/>
      <c r="DD312"/>
      <c r="DE312"/>
      <c r="DF312"/>
      <c r="DG312"/>
      <c r="DH312"/>
      <c r="DI312"/>
      <c r="DJ312"/>
      <c r="DK312"/>
      <c r="DL312"/>
      <c r="DM312"/>
      <c r="DN312"/>
      <c r="DO312"/>
    </row>
    <row r="313" spans="1:119" s="4" customFormat="1">
      <c r="A313" t="str">
        <f>HYPERLINK(".\links\pep\TI-219-pep.txt","TI-219")</f>
        <v>TI-219</v>
      </c>
      <c r="B313">
        <v>219</v>
      </c>
      <c r="C313" t="s">
        <v>12</v>
      </c>
      <c r="D313">
        <v>69</v>
      </c>
      <c r="E313">
        <v>0</v>
      </c>
      <c r="F313" t="str">
        <f>HYPERLINK(".\links\cds\TI-219-cds.txt","TI-219")</f>
        <v>TI-219</v>
      </c>
      <c r="G313">
        <v>210</v>
      </c>
      <c r="H313"/>
      <c r="I313" t="s">
        <v>8</v>
      </c>
      <c r="J313" t="s">
        <v>6</v>
      </c>
      <c r="K313">
        <v>2</v>
      </c>
      <c r="L313">
        <v>0</v>
      </c>
      <c r="M313">
        <f t="shared" si="5"/>
        <v>2</v>
      </c>
      <c r="N313" t="s">
        <v>1297</v>
      </c>
      <c r="O313" t="s">
        <v>1178</v>
      </c>
      <c r="P313" t="str">
        <f>HYPERLINK(".\links\SWISSP\TI-219-SWISSP.txt","SWISSP")</f>
        <v>SWISSP</v>
      </c>
      <c r="Q313" s="3">
        <v>3.0000000000000001E-27</v>
      </c>
      <c r="R313">
        <v>27.3</v>
      </c>
      <c r="S313" t="str">
        <f>HYPERLINK(".\links\NR-LIGHT\TI-219-NR-LIGHT.txt","similar to GCIP-interacting protein p29 (P29)")</f>
        <v>similar to GCIP-interacting protein p29 (P29)</v>
      </c>
      <c r="T313" t="str">
        <f>HYPERLINK("http://www.ncbi.nlm.nih.gov/sutils/blink.cgi?pid=118101581","6E-026")</f>
        <v>6E-026</v>
      </c>
      <c r="U313" t="str">
        <f>HYPERLINK("http://www.ncbi.nlm.nih.gov/protein/118101581","gi|118101581")</f>
        <v>gi|118101581</v>
      </c>
      <c r="V313">
        <v>118</v>
      </c>
      <c r="W313">
        <v>67</v>
      </c>
      <c r="X313">
        <v>252</v>
      </c>
      <c r="Y313">
        <v>82</v>
      </c>
      <c r="Z313">
        <v>27</v>
      </c>
      <c r="AA313">
        <v>12</v>
      </c>
      <c r="AB313">
        <v>0</v>
      </c>
      <c r="AC313">
        <v>185</v>
      </c>
      <c r="AD313">
        <v>2</v>
      </c>
      <c r="AE313">
        <v>1</v>
      </c>
      <c r="AF313"/>
      <c r="AG313" t="s">
        <v>13</v>
      </c>
      <c r="AH313" t="s">
        <v>51</v>
      </c>
      <c r="AI313" t="s">
        <v>126</v>
      </c>
      <c r="AJ313" t="str">
        <f>HYPERLINK(".\links\SWISSP\TI-219-SWISSP.txt","Pre-mRNA-splicing factor syf2 OS=Gecko japonicus GN=syf2 PE=2 SV=1")</f>
        <v>Pre-mRNA-splicing factor syf2 OS=Gecko japonicus GN=syf2 PE=2 SV=1</v>
      </c>
      <c r="AK313" t="str">
        <f>HYPERLINK("http://www.uniprot.org/uniprot/Q6DV01","3E-027")</f>
        <v>3E-027</v>
      </c>
      <c r="AL313" t="s">
        <v>164</v>
      </c>
      <c r="AM313">
        <v>120</v>
      </c>
      <c r="AN313">
        <v>67</v>
      </c>
      <c r="AO313">
        <v>249</v>
      </c>
      <c r="AP313">
        <v>85</v>
      </c>
      <c r="AQ313">
        <v>27</v>
      </c>
      <c r="AR313">
        <v>10</v>
      </c>
      <c r="AS313">
        <v>0</v>
      </c>
      <c r="AT313">
        <v>182</v>
      </c>
      <c r="AU313">
        <v>2</v>
      </c>
      <c r="AV313">
        <v>1</v>
      </c>
      <c r="AW313" t="s">
        <v>165</v>
      </c>
      <c r="AX313" t="str">
        <f>HYPERLINK(".\links\PREV-RHOD-PEP\TI-219-PREV-RHOD-PEP.txt","Contig17854_91")</f>
        <v>Contig17854_91</v>
      </c>
      <c r="AY313" s="3">
        <v>4.0000000000000002E-33</v>
      </c>
      <c r="AZ313" t="s">
        <v>1082</v>
      </c>
      <c r="BA313">
        <v>135</v>
      </c>
      <c r="BB313">
        <v>68</v>
      </c>
      <c r="BC313">
        <v>230</v>
      </c>
      <c r="BD313">
        <v>94</v>
      </c>
      <c r="BE313">
        <v>30</v>
      </c>
      <c r="BF313">
        <v>4</v>
      </c>
      <c r="BG313">
        <v>0</v>
      </c>
      <c r="BH313">
        <v>162</v>
      </c>
      <c r="BI313">
        <v>1</v>
      </c>
      <c r="BJ313">
        <v>1</v>
      </c>
      <c r="BK313" t="s">
        <v>712</v>
      </c>
      <c r="BL313">
        <f>HYPERLINK(".\links\GO\TI-219-GO.txt",3E-26)</f>
        <v>3.0000000000000001E-26</v>
      </c>
      <c r="BM313" t="s">
        <v>507</v>
      </c>
      <c r="BN313" t="s">
        <v>345</v>
      </c>
      <c r="BO313" t="s">
        <v>508</v>
      </c>
      <c r="BP313" t="s">
        <v>509</v>
      </c>
      <c r="BQ313">
        <v>4.9999999999999997E-12</v>
      </c>
      <c r="BR313" t="s">
        <v>713</v>
      </c>
      <c r="BS313" t="s">
        <v>323</v>
      </c>
      <c r="BT313" t="s">
        <v>334</v>
      </c>
      <c r="BU313" t="s">
        <v>714</v>
      </c>
      <c r="BV313">
        <v>4.9999999999999997E-12</v>
      </c>
      <c r="BW313" t="s">
        <v>715</v>
      </c>
      <c r="BX313" t="s">
        <v>345</v>
      </c>
      <c r="BY313" t="s">
        <v>508</v>
      </c>
      <c r="BZ313" t="s">
        <v>716</v>
      </c>
      <c r="CA313">
        <v>4.9999999999999997E-12</v>
      </c>
      <c r="CB313" t="s">
        <v>8</v>
      </c>
      <c r="CC313"/>
      <c r="CD313"/>
      <c r="CE313" t="s">
        <v>8</v>
      </c>
      <c r="CF313"/>
      <c r="CG313"/>
      <c r="CH313" t="s">
        <v>8</v>
      </c>
      <c r="CI313"/>
      <c r="CJ313" t="s">
        <v>8</v>
      </c>
      <c r="CK313"/>
      <c r="CL313" t="s">
        <v>8</v>
      </c>
      <c r="CM313"/>
      <c r="CN313" t="s">
        <v>8</v>
      </c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 t="s">
        <v>8</v>
      </c>
      <c r="DC313"/>
      <c r="DD313"/>
      <c r="DE313"/>
      <c r="DF313"/>
      <c r="DG313"/>
      <c r="DH313"/>
      <c r="DI313"/>
      <c r="DJ313"/>
      <c r="DK313"/>
      <c r="DL313"/>
      <c r="DM313"/>
      <c r="DN313"/>
      <c r="DO313"/>
    </row>
    <row r="314" spans="1:119" s="4" customFormat="1">
      <c r="A314" t="str">
        <f>HYPERLINK(".\links\pep\TI-218-pep.txt","TI-218")</f>
        <v>TI-218</v>
      </c>
      <c r="B314">
        <v>218</v>
      </c>
      <c r="C314" t="s">
        <v>20</v>
      </c>
      <c r="D314">
        <v>243</v>
      </c>
      <c r="E314">
        <v>0</v>
      </c>
      <c r="F314" t="str">
        <f>HYPERLINK(".\links\cds\TI-218-cds.txt","TI-218")</f>
        <v>TI-218</v>
      </c>
      <c r="G314">
        <v>728</v>
      </c>
      <c r="H314"/>
      <c r="I314" t="s">
        <v>8</v>
      </c>
      <c r="J314" t="s">
        <v>8</v>
      </c>
      <c r="K314">
        <v>2</v>
      </c>
      <c r="L314">
        <v>1</v>
      </c>
      <c r="M314">
        <f t="shared" si="5"/>
        <v>1</v>
      </c>
      <c r="N314" t="s">
        <v>1206</v>
      </c>
      <c r="O314" t="s">
        <v>1196</v>
      </c>
      <c r="P314" t="str">
        <f>HYPERLINK(".\links\NR-LIGHT\TI-218-NR-LIGHT.txt","NR-LIGHT")</f>
        <v>NR-LIGHT</v>
      </c>
      <c r="Q314" s="3">
        <v>3.0000000000000002E-47</v>
      </c>
      <c r="R314">
        <v>8</v>
      </c>
      <c r="S314" t="str">
        <f>HYPERLINK(".\links\NR-LIGHT\TI-218-NR-LIGHT.txt","polyprotein")</f>
        <v>polyprotein</v>
      </c>
      <c r="T314" t="str">
        <f>HYPERLINK("http://www.ncbi.nlm.nih.gov/sutils/blink.cgi?pid=297578409","3E-047")</f>
        <v>3E-047</v>
      </c>
      <c r="U314" t="str">
        <f>HYPERLINK("http://www.ncbi.nlm.nih.gov/protein/297578409","gi|297578409")</f>
        <v>gi|297578409</v>
      </c>
      <c r="V314">
        <v>190</v>
      </c>
      <c r="W314">
        <v>232</v>
      </c>
      <c r="X314">
        <v>2964</v>
      </c>
      <c r="Y314">
        <v>42</v>
      </c>
      <c r="Z314">
        <v>8</v>
      </c>
      <c r="AA314">
        <v>136</v>
      </c>
      <c r="AB314">
        <v>12</v>
      </c>
      <c r="AC314">
        <v>903</v>
      </c>
      <c r="AD314">
        <v>10</v>
      </c>
      <c r="AE314">
        <v>1</v>
      </c>
      <c r="AF314"/>
      <c r="AG314" t="s">
        <v>13</v>
      </c>
      <c r="AH314" t="s">
        <v>51</v>
      </c>
      <c r="AI314" t="s">
        <v>286</v>
      </c>
      <c r="AJ314" t="s">
        <v>8</v>
      </c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 t="s">
        <v>8</v>
      </c>
      <c r="AY314"/>
      <c r="AZ314"/>
      <c r="BA314"/>
      <c r="BB314"/>
      <c r="BC314"/>
      <c r="BD314"/>
      <c r="BE314"/>
      <c r="BF314"/>
      <c r="BG314"/>
      <c r="BH314"/>
      <c r="BI314"/>
      <c r="BJ314"/>
      <c r="BK314" t="s">
        <v>8</v>
      </c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 t="s">
        <v>8</v>
      </c>
      <c r="CC314"/>
      <c r="CD314"/>
      <c r="CE314" t="s">
        <v>8</v>
      </c>
      <c r="CF314"/>
      <c r="CG314"/>
      <c r="CH314" t="s">
        <v>8</v>
      </c>
      <c r="CI314"/>
      <c r="CJ314" t="s">
        <v>8</v>
      </c>
      <c r="CK314"/>
      <c r="CL314" t="s">
        <v>8</v>
      </c>
      <c r="CM314"/>
      <c r="CN314" t="s">
        <v>8</v>
      </c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 t="s">
        <v>8</v>
      </c>
      <c r="DC314"/>
      <c r="DD314"/>
      <c r="DE314"/>
      <c r="DF314"/>
      <c r="DG314"/>
      <c r="DH314"/>
      <c r="DI314"/>
      <c r="DJ314"/>
      <c r="DK314"/>
      <c r="DL314"/>
      <c r="DM314"/>
      <c r="DN314"/>
      <c r="DO314"/>
    </row>
    <row r="315" spans="1:119" s="4" customFormat="1">
      <c r="A315" t="str">
        <f>HYPERLINK(".\links\pep\TI-214-pep.txt","TI-214")</f>
        <v>TI-214</v>
      </c>
      <c r="B315">
        <v>214</v>
      </c>
      <c r="C315" t="s">
        <v>7</v>
      </c>
      <c r="D315">
        <v>127</v>
      </c>
      <c r="E315">
        <v>0</v>
      </c>
      <c r="F315" t="str">
        <f>HYPERLINK(".\links\cds\TI-214-cds.txt","TI-214")</f>
        <v>TI-214</v>
      </c>
      <c r="G315">
        <v>384</v>
      </c>
      <c r="H315"/>
      <c r="I315" t="s">
        <v>29</v>
      </c>
      <c r="J315" t="s">
        <v>6</v>
      </c>
      <c r="K315">
        <v>3</v>
      </c>
      <c r="L315">
        <v>2</v>
      </c>
      <c r="M315">
        <f t="shared" si="5"/>
        <v>1</v>
      </c>
      <c r="N315" t="s">
        <v>1204</v>
      </c>
      <c r="O315" t="s">
        <v>1178</v>
      </c>
      <c r="P315" t="str">
        <f>HYPERLINK(".\links\NR-LIGHT\TI-214-NR-LIGHT.txt","NR-LIGHT")</f>
        <v>NR-LIGHT</v>
      </c>
      <c r="Q315">
        <v>2E-14</v>
      </c>
      <c r="R315">
        <v>85.5</v>
      </c>
      <c r="S315" t="str">
        <f>HYPERLINK(".\links\NR-LIGHT\TI-214-NR-LIGHT.txt","putative fatbody protein 3Rev-G1")</f>
        <v>putative fatbody protein 3Rev-G1</v>
      </c>
      <c r="T315" t="str">
        <f>HYPERLINK("http://www.ncbi.nlm.nih.gov/sutils/blink.cgi?pid=306518634","2E-014")</f>
        <v>2E-014</v>
      </c>
      <c r="U315" t="str">
        <f>HYPERLINK("http://www.ncbi.nlm.nih.gov/protein/306518634","gi|306518634")</f>
        <v>gi|306518634</v>
      </c>
      <c r="V315">
        <v>80.099999999999994</v>
      </c>
      <c r="W315">
        <v>100</v>
      </c>
      <c r="X315">
        <v>118</v>
      </c>
      <c r="Y315">
        <v>41</v>
      </c>
      <c r="Z315">
        <v>86</v>
      </c>
      <c r="AA315">
        <v>59</v>
      </c>
      <c r="AB315">
        <v>0</v>
      </c>
      <c r="AC315">
        <v>17</v>
      </c>
      <c r="AD315">
        <v>27</v>
      </c>
      <c r="AE315">
        <v>1</v>
      </c>
      <c r="AF315"/>
      <c r="AG315" t="s">
        <v>13</v>
      </c>
      <c r="AH315" t="s">
        <v>51</v>
      </c>
      <c r="AI315" t="s">
        <v>54</v>
      </c>
      <c r="AJ315" t="s">
        <v>8</v>
      </c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 t="str">
        <f>HYPERLINK(".\links\PREV-RHOD-PEP\TI-214-PREV-RHOD-PEP.txt","Contig17940_72")</f>
        <v>Contig17940_72</v>
      </c>
      <c r="AY315" s="3">
        <v>3.0000000000000003E-39</v>
      </c>
      <c r="AZ315" t="s">
        <v>1079</v>
      </c>
      <c r="BA315">
        <v>156</v>
      </c>
      <c r="BB315">
        <v>106</v>
      </c>
      <c r="BC315">
        <v>126</v>
      </c>
      <c r="BD315">
        <v>68</v>
      </c>
      <c r="BE315">
        <v>85</v>
      </c>
      <c r="BF315">
        <v>34</v>
      </c>
      <c r="BG315">
        <v>1</v>
      </c>
      <c r="BH315">
        <v>20</v>
      </c>
      <c r="BI315">
        <v>20</v>
      </c>
      <c r="BJ315">
        <v>1</v>
      </c>
      <c r="BK315" t="s">
        <v>8</v>
      </c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 t="s">
        <v>8</v>
      </c>
      <c r="CC315"/>
      <c r="CD315"/>
      <c r="CE315" t="s">
        <v>8</v>
      </c>
      <c r="CF315"/>
      <c r="CG315"/>
      <c r="CH315" t="s">
        <v>8</v>
      </c>
      <c r="CI315"/>
      <c r="CJ315" t="s">
        <v>8</v>
      </c>
      <c r="CK315"/>
      <c r="CL315" t="s">
        <v>8</v>
      </c>
      <c r="CM315"/>
      <c r="CN315" t="s">
        <v>8</v>
      </c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 t="s">
        <v>8</v>
      </c>
      <c r="DC315"/>
      <c r="DD315"/>
      <c r="DE315"/>
      <c r="DF315"/>
      <c r="DG315"/>
      <c r="DH315"/>
      <c r="DI315"/>
      <c r="DJ315"/>
      <c r="DK315"/>
      <c r="DL315"/>
      <c r="DM315"/>
      <c r="DN315"/>
      <c r="DO315"/>
    </row>
    <row r="316" spans="1:119" s="4" customFormat="1">
      <c r="A316" t="str">
        <f>HYPERLINK(".\links\pep\TI-211-pep.txt","TI-211")</f>
        <v>TI-211</v>
      </c>
      <c r="B316">
        <v>211</v>
      </c>
      <c r="C316" t="s">
        <v>13</v>
      </c>
      <c r="D316">
        <v>229</v>
      </c>
      <c r="E316">
        <v>0</v>
      </c>
      <c r="F316" t="str">
        <f>HYPERLINK(".\links\cds\TI-211-cds.txt","TI-211")</f>
        <v>TI-211</v>
      </c>
      <c r="G316">
        <v>686</v>
      </c>
      <c r="H316"/>
      <c r="I316" t="s">
        <v>8</v>
      </c>
      <c r="J316" t="s">
        <v>8</v>
      </c>
      <c r="K316">
        <v>1</v>
      </c>
      <c r="L316">
        <v>0</v>
      </c>
      <c r="M316">
        <f t="shared" ref="M316:M360" si="6">ABS(K316-L316)</f>
        <v>1</v>
      </c>
      <c r="N316" t="s">
        <v>1294</v>
      </c>
      <c r="O316" t="s">
        <v>1295</v>
      </c>
      <c r="P316" t="str">
        <f>HYPERLINK(".\links\GO\TI-211-GO.txt","GO")</f>
        <v>GO</v>
      </c>
      <c r="Q316" s="3">
        <v>4.9999999999999995E-97</v>
      </c>
      <c r="R316">
        <v>28.1</v>
      </c>
      <c r="S316" t="str">
        <f>HYPERLINK(".\links\NR-LIGHT\TI-211-NR-LIGHT.txt","AGAP011055-PA")</f>
        <v>AGAP011055-PA</v>
      </c>
      <c r="T316" t="str">
        <f>HYPERLINK("http://www.ncbi.nlm.nih.gov/sutils/blink.cgi?pid=158285039","1E-103")</f>
        <v>1E-103</v>
      </c>
      <c r="U316" t="str">
        <f>HYPERLINK("http://www.ncbi.nlm.nih.gov/protein/158285039","gi|158285039")</f>
        <v>gi|158285039</v>
      </c>
      <c r="V316">
        <v>377</v>
      </c>
      <c r="W316">
        <v>220</v>
      </c>
      <c r="X316">
        <v>954</v>
      </c>
      <c r="Y316">
        <v>78</v>
      </c>
      <c r="Z316">
        <v>23</v>
      </c>
      <c r="AA316">
        <v>47</v>
      </c>
      <c r="AB316">
        <v>0</v>
      </c>
      <c r="AC316">
        <v>641</v>
      </c>
      <c r="AD316">
        <v>9</v>
      </c>
      <c r="AE316">
        <v>1</v>
      </c>
      <c r="AF316"/>
      <c r="AG316" t="s">
        <v>13</v>
      </c>
      <c r="AH316" t="s">
        <v>51</v>
      </c>
      <c r="AI316" t="s">
        <v>275</v>
      </c>
      <c r="AJ316" t="str">
        <f>HYPERLINK(".\links\SWISSP\TI-211-SWISSP.txt","Cyclin-dependent kinase 11B OS=Homo sapiens GN=CDK11B PE=1 SV=3")</f>
        <v>Cyclin-dependent kinase 11B OS=Homo sapiens GN=CDK11B PE=1 SV=3</v>
      </c>
      <c r="AK316" t="str">
        <f>HYPERLINK("http://www.uniprot.org/uniprot/P21127","2E-096")</f>
        <v>2E-096</v>
      </c>
      <c r="AL316" t="s">
        <v>162</v>
      </c>
      <c r="AM316">
        <v>352</v>
      </c>
      <c r="AN316">
        <v>217</v>
      </c>
      <c r="AO316">
        <v>795</v>
      </c>
      <c r="AP316">
        <v>73</v>
      </c>
      <c r="AQ316">
        <v>27</v>
      </c>
      <c r="AR316">
        <v>58</v>
      </c>
      <c r="AS316">
        <v>3</v>
      </c>
      <c r="AT316">
        <v>519</v>
      </c>
      <c r="AU316">
        <v>9</v>
      </c>
      <c r="AV316">
        <v>1</v>
      </c>
      <c r="AW316" t="s">
        <v>68</v>
      </c>
      <c r="AX316" t="str">
        <f>HYPERLINK(".\links\PREV-RHOD-PEP\TI-211-PREV-RHOD-PEP.txt","Contig17852_67")</f>
        <v>Contig17852_67</v>
      </c>
      <c r="AY316" s="3">
        <v>9.9999999999999999E-133</v>
      </c>
      <c r="AZ316" t="s">
        <v>1078</v>
      </c>
      <c r="BA316">
        <v>466</v>
      </c>
      <c r="BB316">
        <v>220</v>
      </c>
      <c r="BC316">
        <v>761</v>
      </c>
      <c r="BD316">
        <v>99</v>
      </c>
      <c r="BE316">
        <v>29</v>
      </c>
      <c r="BF316">
        <v>2</v>
      </c>
      <c r="BG316">
        <v>0</v>
      </c>
      <c r="BH316">
        <v>483</v>
      </c>
      <c r="BI316">
        <v>9</v>
      </c>
      <c r="BJ316">
        <v>1</v>
      </c>
      <c r="BK316" t="s">
        <v>703</v>
      </c>
      <c r="BL316">
        <f>HYPERLINK(".\links\GO\TI-211-GO.txt",3E-97)</f>
        <v>3.0000000000000002E-97</v>
      </c>
      <c r="BM316" t="s">
        <v>482</v>
      </c>
      <c r="BN316" t="s">
        <v>345</v>
      </c>
      <c r="BO316" t="s">
        <v>346</v>
      </c>
      <c r="BP316" t="s">
        <v>483</v>
      </c>
      <c r="BQ316" s="3">
        <v>1.9999999999999998E-96</v>
      </c>
      <c r="BR316" t="s">
        <v>447</v>
      </c>
      <c r="BS316" t="s">
        <v>323</v>
      </c>
      <c r="BT316" t="s">
        <v>334</v>
      </c>
      <c r="BU316" t="s">
        <v>448</v>
      </c>
      <c r="BV316" s="3">
        <v>1.9999999999999998E-96</v>
      </c>
      <c r="BW316" t="s">
        <v>704</v>
      </c>
      <c r="BX316" t="s">
        <v>345</v>
      </c>
      <c r="BY316" t="s">
        <v>346</v>
      </c>
      <c r="BZ316" t="s">
        <v>705</v>
      </c>
      <c r="CA316" s="3">
        <v>1.9999999999999998E-96</v>
      </c>
      <c r="CB316" t="s">
        <v>8</v>
      </c>
      <c r="CC316"/>
      <c r="CD316"/>
      <c r="CE316" t="s">
        <v>8</v>
      </c>
      <c r="CF316"/>
      <c r="CG316"/>
      <c r="CH316" t="s">
        <v>8</v>
      </c>
      <c r="CI316"/>
      <c r="CJ316" t="s">
        <v>8</v>
      </c>
      <c r="CK316"/>
      <c r="CL316" t="s">
        <v>8</v>
      </c>
      <c r="CM316"/>
      <c r="CN316" t="s">
        <v>8</v>
      </c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 t="s">
        <v>8</v>
      </c>
      <c r="DC316"/>
      <c r="DD316"/>
      <c r="DE316"/>
      <c r="DF316"/>
      <c r="DG316"/>
      <c r="DH316"/>
      <c r="DI316"/>
      <c r="DJ316"/>
      <c r="DK316"/>
      <c r="DL316"/>
      <c r="DM316"/>
      <c r="DN316"/>
      <c r="DO316"/>
    </row>
    <row r="317" spans="1:119" s="4" customFormat="1">
      <c r="A317" s="6" t="str">
        <f>HYPERLINK(".\links\pep\TI-205-pep.txt","TI-205")</f>
        <v>TI-205</v>
      </c>
      <c r="B317" s="6">
        <v>205</v>
      </c>
      <c r="C317" s="6" t="s">
        <v>10</v>
      </c>
      <c r="D317" s="6">
        <v>86</v>
      </c>
      <c r="E317" s="7">
        <v>1.1627909999999999</v>
      </c>
      <c r="F317" s="6" t="str">
        <f>HYPERLINK(".\links\cds\TI-205-cds.txt","TI-205")</f>
        <v>TI-205</v>
      </c>
      <c r="G317" s="6">
        <v>261</v>
      </c>
      <c r="H317" s="6"/>
      <c r="I317" s="6" t="s">
        <v>8</v>
      </c>
      <c r="J317" s="6" t="s">
        <v>6</v>
      </c>
      <c r="K317" s="6">
        <v>1</v>
      </c>
      <c r="L317" s="6">
        <v>0</v>
      </c>
      <c r="M317" s="6">
        <f t="shared" si="6"/>
        <v>1</v>
      </c>
      <c r="N317" s="6" t="s">
        <v>1170</v>
      </c>
      <c r="O317" s="6" t="s">
        <v>1171</v>
      </c>
      <c r="P317" s="6"/>
      <c r="Q317" s="6"/>
      <c r="R317" s="6"/>
      <c r="S317" s="6" t="s">
        <v>8</v>
      </c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 t="s">
        <v>8</v>
      </c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 t="str">
        <f>HYPERLINK(".\links\PREV-RHOD-PEP\TI-205-PREV-RHOD-PEP.txt","Contig17971_250")</f>
        <v>Contig17971_250</v>
      </c>
      <c r="AY317" s="8">
        <v>5.9999999999999997E-7</v>
      </c>
      <c r="AZ317" s="6" t="s">
        <v>1023</v>
      </c>
      <c r="BA317" s="6">
        <v>48.9</v>
      </c>
      <c r="BB317" s="6">
        <v>64</v>
      </c>
      <c r="BC317" s="6">
        <v>188</v>
      </c>
      <c r="BD317" s="6">
        <v>47</v>
      </c>
      <c r="BE317" s="6">
        <v>35</v>
      </c>
      <c r="BF317" s="6">
        <v>34</v>
      </c>
      <c r="BG317" s="6">
        <v>0</v>
      </c>
      <c r="BH317" s="6">
        <v>7</v>
      </c>
      <c r="BI317" s="6">
        <v>5</v>
      </c>
      <c r="BJ317" s="6">
        <v>1</v>
      </c>
      <c r="BK317" s="6" t="s">
        <v>8</v>
      </c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 t="s">
        <v>8</v>
      </c>
      <c r="CC317" s="6"/>
      <c r="CD317" s="6"/>
      <c r="CE317" s="6" t="s">
        <v>8</v>
      </c>
      <c r="CF317" s="6"/>
      <c r="CG317" s="6"/>
      <c r="CH317" s="6" t="s">
        <v>8</v>
      </c>
      <c r="CI317" s="6"/>
      <c r="CJ317" s="6" t="s">
        <v>8</v>
      </c>
      <c r="CK317" s="6"/>
      <c r="CL317" s="6" t="s">
        <v>8</v>
      </c>
      <c r="CM317" s="6"/>
      <c r="CN317" s="6" t="s">
        <v>8</v>
      </c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 t="s">
        <v>8</v>
      </c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</row>
    <row r="318" spans="1:119" s="4" customFormat="1">
      <c r="A318" s="9" t="str">
        <f>HYPERLINK(".\links\pep\TI-204-pep.txt","TI-204")</f>
        <v>TI-204</v>
      </c>
      <c r="B318" s="6">
        <v>204</v>
      </c>
      <c r="C318" s="6" t="s">
        <v>12</v>
      </c>
      <c r="D318" s="6">
        <v>245</v>
      </c>
      <c r="E318" s="7">
        <v>0.81632660000000001</v>
      </c>
      <c r="F318" s="6" t="str">
        <f>HYPERLINK(".\links\cds\TI-204-cds.txt","TI-204")</f>
        <v>TI-204</v>
      </c>
      <c r="G318" s="6">
        <v>733</v>
      </c>
      <c r="H318" s="6"/>
      <c r="I318" s="6" t="s">
        <v>8</v>
      </c>
      <c r="J318" s="6" t="s">
        <v>8</v>
      </c>
      <c r="K318" s="6">
        <v>1</v>
      </c>
      <c r="L318" s="6">
        <v>0</v>
      </c>
      <c r="M318" s="6">
        <f t="shared" si="6"/>
        <v>1</v>
      </c>
      <c r="N318" s="6" t="s">
        <v>1170</v>
      </c>
      <c r="O318" s="6" t="s">
        <v>1171</v>
      </c>
      <c r="P318" s="6"/>
      <c r="Q318" s="6"/>
      <c r="R318" s="6"/>
      <c r="S318" s="6" t="s">
        <v>8</v>
      </c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 t="s">
        <v>8</v>
      </c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 t="s">
        <v>8</v>
      </c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 t="s">
        <v>8</v>
      </c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 t="s">
        <v>8</v>
      </c>
      <c r="CC318" s="6"/>
      <c r="CD318" s="6"/>
      <c r="CE318" s="6" t="s">
        <v>8</v>
      </c>
      <c r="CF318" s="6"/>
      <c r="CG318" s="6"/>
      <c r="CH318" s="6" t="s">
        <v>8</v>
      </c>
      <c r="CI318" s="6"/>
      <c r="CJ318" s="6" t="s">
        <v>8</v>
      </c>
      <c r="CK318" s="6"/>
      <c r="CL318" s="6" t="s">
        <v>8</v>
      </c>
      <c r="CM318" s="6"/>
      <c r="CN318" s="6" t="s">
        <v>8</v>
      </c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 t="s">
        <v>8</v>
      </c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</row>
    <row r="319" spans="1:119" s="4" customFormat="1">
      <c r="A319" s="6" t="str">
        <f>HYPERLINK(".\links\pep\TI-203-pep.txt","TI-203")</f>
        <v>TI-203</v>
      </c>
      <c r="B319" s="6">
        <v>203</v>
      </c>
      <c r="C319" s="6" t="s">
        <v>17</v>
      </c>
      <c r="D319" s="6">
        <v>61</v>
      </c>
      <c r="E319" s="6">
        <v>0</v>
      </c>
      <c r="F319" s="6" t="str">
        <f>HYPERLINK(".\links\cds\TI-203-cds.txt","TI-203")</f>
        <v>TI-203</v>
      </c>
      <c r="G319" s="6">
        <v>186</v>
      </c>
      <c r="H319" s="6"/>
      <c r="I319" s="6" t="s">
        <v>8</v>
      </c>
      <c r="J319" s="6" t="s">
        <v>6</v>
      </c>
      <c r="K319" s="6">
        <v>1</v>
      </c>
      <c r="L319" s="6">
        <v>0</v>
      </c>
      <c r="M319" s="6">
        <f t="shared" si="6"/>
        <v>1</v>
      </c>
      <c r="N319" s="6" t="s">
        <v>1170</v>
      </c>
      <c r="O319" s="6" t="s">
        <v>1171</v>
      </c>
      <c r="P319" s="6"/>
      <c r="Q319" s="6"/>
      <c r="R319" s="6"/>
      <c r="S319" s="6" t="s">
        <v>8</v>
      </c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 t="s">
        <v>8</v>
      </c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 t="s">
        <v>8</v>
      </c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 t="s">
        <v>8</v>
      </c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 t="s">
        <v>8</v>
      </c>
      <c r="CC319" s="6"/>
      <c r="CD319" s="6"/>
      <c r="CE319" s="6" t="s">
        <v>8</v>
      </c>
      <c r="CF319" s="6"/>
      <c r="CG319" s="6"/>
      <c r="CH319" s="6" t="s">
        <v>8</v>
      </c>
      <c r="CI319" s="6"/>
      <c r="CJ319" s="6" t="s">
        <v>8</v>
      </c>
      <c r="CK319" s="6"/>
      <c r="CL319" s="6" t="s">
        <v>8</v>
      </c>
      <c r="CM319" s="6"/>
      <c r="CN319" s="6" t="s">
        <v>8</v>
      </c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 t="s">
        <v>8</v>
      </c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</row>
    <row r="320" spans="1:119" s="4" customFormat="1">
      <c r="A320" t="str">
        <f>HYPERLINK(".\links\pep\TI-200-pep.txt","TI-200")</f>
        <v>TI-200</v>
      </c>
      <c r="B320">
        <v>200</v>
      </c>
      <c r="C320" t="s">
        <v>7</v>
      </c>
      <c r="D320">
        <v>162</v>
      </c>
      <c r="E320">
        <v>0</v>
      </c>
      <c r="F320" t="str">
        <f>HYPERLINK(".\links\cds\TI-200-cds.txt","TI-200")</f>
        <v>TI-200</v>
      </c>
      <c r="G320">
        <v>489</v>
      </c>
      <c r="H320"/>
      <c r="I320" t="s">
        <v>29</v>
      </c>
      <c r="J320" t="s">
        <v>6</v>
      </c>
      <c r="K320">
        <v>4</v>
      </c>
      <c r="L320">
        <v>0</v>
      </c>
      <c r="M320">
        <f t="shared" si="6"/>
        <v>4</v>
      </c>
      <c r="N320" t="s">
        <v>1291</v>
      </c>
      <c r="O320" t="s">
        <v>1188</v>
      </c>
      <c r="P320" t="str">
        <f>HYPERLINK(".\links\NR-LIGHT\TI-200-NR-LIGHT.txt","NR-LIGHT")</f>
        <v>NR-LIGHT</v>
      </c>
      <c r="Q320">
        <v>2E-8</v>
      </c>
      <c r="R320">
        <v>78.599999999999994</v>
      </c>
      <c r="S320" t="str">
        <f>HYPERLINK(".\links\NR-LIGHT\TI-200-NR-LIGHT.txt","hypothetical protein TcasGA2_TC002967")</f>
        <v>hypothetical protein TcasGA2_TC002967</v>
      </c>
      <c r="T320" t="str">
        <f>HYPERLINK("http://www.ncbi.nlm.nih.gov/sutils/blink.cgi?pid=270003698","2E-010")</f>
        <v>2E-010</v>
      </c>
      <c r="U320" t="str">
        <f>HYPERLINK("http://www.ncbi.nlm.nih.gov/protein/270003698","gi|270003698")</f>
        <v>gi|270003698</v>
      </c>
      <c r="V320">
        <v>67</v>
      </c>
      <c r="W320">
        <v>133</v>
      </c>
      <c r="X320">
        <v>165</v>
      </c>
      <c r="Y320">
        <v>29</v>
      </c>
      <c r="Z320">
        <v>81</v>
      </c>
      <c r="AA320">
        <v>94</v>
      </c>
      <c r="AB320">
        <v>2</v>
      </c>
      <c r="AC320">
        <v>23</v>
      </c>
      <c r="AD320">
        <v>22</v>
      </c>
      <c r="AE320">
        <v>1</v>
      </c>
      <c r="AF320"/>
      <c r="AG320" t="s">
        <v>13</v>
      </c>
      <c r="AH320" t="s">
        <v>51</v>
      </c>
      <c r="AI320" t="s">
        <v>266</v>
      </c>
      <c r="AJ320" t="s">
        <v>8</v>
      </c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 t="str">
        <f>HYPERLINK(".\links\PREV-RHOD-PEP\TI-200-PREV-RHOD-PEP.txt","Contig17971_367")</f>
        <v>Contig17971_367</v>
      </c>
      <c r="AY320" s="3">
        <v>1.9999999999999999E-38</v>
      </c>
      <c r="AZ320" t="s">
        <v>1076</v>
      </c>
      <c r="BA320">
        <v>154</v>
      </c>
      <c r="BB320">
        <v>90</v>
      </c>
      <c r="BC320">
        <v>109</v>
      </c>
      <c r="BD320">
        <v>75</v>
      </c>
      <c r="BE320">
        <v>83</v>
      </c>
      <c r="BF320">
        <v>22</v>
      </c>
      <c r="BG320">
        <v>0</v>
      </c>
      <c r="BH320">
        <v>3</v>
      </c>
      <c r="BI320">
        <v>2</v>
      </c>
      <c r="BJ320">
        <v>1</v>
      </c>
      <c r="BK320" t="s">
        <v>8</v>
      </c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 t="s">
        <v>8</v>
      </c>
      <c r="CC320"/>
      <c r="CD320"/>
      <c r="CE320" t="s">
        <v>8</v>
      </c>
      <c r="CF320"/>
      <c r="CG320"/>
      <c r="CH320" t="s">
        <v>8</v>
      </c>
      <c r="CI320"/>
      <c r="CJ320" t="s">
        <v>8</v>
      </c>
      <c r="CK320"/>
      <c r="CL320" t="s">
        <v>8</v>
      </c>
      <c r="CM320"/>
      <c r="CN320" t="s">
        <v>8</v>
      </c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 t="s">
        <v>8</v>
      </c>
      <c r="DC320"/>
      <c r="DD320"/>
      <c r="DE320"/>
      <c r="DF320"/>
      <c r="DG320"/>
      <c r="DH320"/>
      <c r="DI320"/>
      <c r="DJ320"/>
      <c r="DK320"/>
      <c r="DL320"/>
      <c r="DM320"/>
      <c r="DN320"/>
      <c r="DO320"/>
    </row>
    <row r="321" spans="1:119" s="4" customFormat="1">
      <c r="A321" s="6" t="str">
        <f>HYPERLINK(".\links\pep\TI-20-pep.txt","TI-20")</f>
        <v>TI-20</v>
      </c>
      <c r="B321" s="6">
        <v>20</v>
      </c>
      <c r="C321" s="6" t="s">
        <v>16</v>
      </c>
      <c r="D321" s="6">
        <v>96</v>
      </c>
      <c r="E321" s="6">
        <v>0</v>
      </c>
      <c r="F321" s="6" t="str">
        <f>HYPERLINK(".\links\cds\TI-20-cds.txt","TI-20")</f>
        <v>TI-20</v>
      </c>
      <c r="G321" s="6">
        <v>291</v>
      </c>
      <c r="H321" s="6"/>
      <c r="I321" s="6" t="s">
        <v>8</v>
      </c>
      <c r="J321" s="6" t="s">
        <v>6</v>
      </c>
      <c r="K321" s="6">
        <v>1</v>
      </c>
      <c r="L321" s="6">
        <v>0</v>
      </c>
      <c r="M321" s="6">
        <f t="shared" si="6"/>
        <v>1</v>
      </c>
      <c r="N321" s="6" t="s">
        <v>1170</v>
      </c>
      <c r="O321" s="6" t="s">
        <v>1171</v>
      </c>
      <c r="P321" s="6"/>
      <c r="Q321" s="6"/>
      <c r="R321" s="6"/>
      <c r="S321" s="6" t="str">
        <f>HYPERLINK(".\links\NR-LIGHT\TI-20-NR-LIGHT.txt","INT1 protein")</f>
        <v>INT1 protein</v>
      </c>
      <c r="T321" s="6" t="str">
        <f>HYPERLINK("http://www.ncbi.nlm.nih.gov/sutils/blink.cgi?pid=17511853","1.5")</f>
        <v>1.5</v>
      </c>
      <c r="U321" s="6" t="str">
        <f>HYPERLINK("http://www.ncbi.nlm.nih.gov/protein/17511853","gi|17511853")</f>
        <v>gi|17511853</v>
      </c>
      <c r="V321" s="6">
        <v>33.9</v>
      </c>
      <c r="W321" s="6">
        <v>40</v>
      </c>
      <c r="X321" s="6">
        <v>698</v>
      </c>
      <c r="Y321" s="6">
        <v>41</v>
      </c>
      <c r="Z321" s="6">
        <v>6</v>
      </c>
      <c r="AA321" s="6">
        <v>24</v>
      </c>
      <c r="AB321" s="6">
        <v>1</v>
      </c>
      <c r="AC321" s="6">
        <v>139</v>
      </c>
      <c r="AD321" s="6">
        <v>44</v>
      </c>
      <c r="AE321" s="6">
        <v>1</v>
      </c>
      <c r="AF321" s="6"/>
      <c r="AG321" s="6" t="s">
        <v>13</v>
      </c>
      <c r="AH321" s="6" t="s">
        <v>51</v>
      </c>
      <c r="AI321" s="6" t="s">
        <v>68</v>
      </c>
      <c r="AJ321" s="6" t="s">
        <v>8</v>
      </c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 t="s">
        <v>8</v>
      </c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 t="s">
        <v>8</v>
      </c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 t="s">
        <v>8</v>
      </c>
      <c r="CC321" s="6"/>
      <c r="CD321" s="6"/>
      <c r="CE321" s="6" t="s">
        <v>8</v>
      </c>
      <c r="CF321" s="6"/>
      <c r="CG321" s="6"/>
      <c r="CH321" s="6" t="s">
        <v>8</v>
      </c>
      <c r="CI321" s="6"/>
      <c r="CJ321" s="6" t="s">
        <v>8</v>
      </c>
      <c r="CK321" s="6"/>
      <c r="CL321" s="6" t="s">
        <v>8</v>
      </c>
      <c r="CM321" s="6"/>
      <c r="CN321" s="6" t="s">
        <v>8</v>
      </c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 t="s">
        <v>8</v>
      </c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</row>
    <row r="322" spans="1:119" s="4" customFormat="1">
      <c r="A322" t="str">
        <f>HYPERLINK(".\links\pep\TI-2-pep.txt","TI-2")</f>
        <v>TI-2</v>
      </c>
      <c r="B322">
        <v>2</v>
      </c>
      <c r="C322" t="s">
        <v>23</v>
      </c>
      <c r="D322">
        <v>130</v>
      </c>
      <c r="E322" s="2">
        <v>3.0769229999999999</v>
      </c>
      <c r="F322" t="str">
        <f>HYPERLINK(".\links\cds\TI-2-cds.txt","TI-2")</f>
        <v>TI-2</v>
      </c>
      <c r="G322">
        <v>393</v>
      </c>
      <c r="H322"/>
      <c r="I322" t="s">
        <v>8</v>
      </c>
      <c r="J322" t="s">
        <v>6</v>
      </c>
      <c r="K322">
        <v>1</v>
      </c>
      <c r="L322">
        <v>0</v>
      </c>
      <c r="M322">
        <f t="shared" si="6"/>
        <v>1</v>
      </c>
      <c r="N322" t="s">
        <v>1247</v>
      </c>
      <c r="O322" t="s">
        <v>1169</v>
      </c>
      <c r="P322" t="str">
        <f>HYPERLINK(".\links\NR-LIGHT\TI-2-NR-LIGHT.txt","NR-LIGHT")</f>
        <v>NR-LIGHT</v>
      </c>
      <c r="Q322" s="3">
        <v>1.9999999999999998E-24</v>
      </c>
      <c r="R322">
        <v>41.7</v>
      </c>
      <c r="S322" t="str">
        <f>HYPERLINK(".\links\NR-LIGHT\TI-2-NR-LIGHT.txt","ribosomal protein L6")</f>
        <v>ribosomal protein L6</v>
      </c>
      <c r="T322" t="str">
        <f>HYPERLINK("http://www.ncbi.nlm.nih.gov/sutils/blink.cgi?pid=253683402","2E-024")</f>
        <v>2E-024</v>
      </c>
      <c r="U322" t="str">
        <f>HYPERLINK("http://www.ncbi.nlm.nih.gov/protein/253683402","gi|253683402")</f>
        <v>gi|253683402</v>
      </c>
      <c r="V322">
        <v>113</v>
      </c>
      <c r="W322">
        <v>113</v>
      </c>
      <c r="X322">
        <v>273</v>
      </c>
      <c r="Y322">
        <v>49</v>
      </c>
      <c r="Z322">
        <v>42</v>
      </c>
      <c r="AA322">
        <v>58</v>
      </c>
      <c r="AB322">
        <v>0</v>
      </c>
      <c r="AC322">
        <v>160</v>
      </c>
      <c r="AD322">
        <v>17</v>
      </c>
      <c r="AE322">
        <v>1</v>
      </c>
      <c r="AF322"/>
      <c r="AG322" t="s">
        <v>13</v>
      </c>
      <c r="AH322" t="s">
        <v>51</v>
      </c>
      <c r="AI322" t="s">
        <v>274</v>
      </c>
      <c r="AJ322" t="str">
        <f>HYPERLINK(".\links\SWISSP\TI-2-SWISSP.txt","60S ribosomal protein L6 OS=Chinchilla lanigera GN=RPL6 PE=2 SV=3")</f>
        <v>60S ribosomal protein L6 OS=Chinchilla lanigera GN=RPL6 PE=2 SV=3</v>
      </c>
      <c r="AK322" t="str">
        <f>HYPERLINK("http://www.uniprot.org/uniprot/Q6QMZ4","3E-016")</f>
        <v>3E-016</v>
      </c>
      <c r="AL322" t="s">
        <v>88</v>
      </c>
      <c r="AM322">
        <v>84</v>
      </c>
      <c r="AN322">
        <v>110</v>
      </c>
      <c r="AO322">
        <v>288</v>
      </c>
      <c r="AP322">
        <v>38</v>
      </c>
      <c r="AQ322">
        <v>39</v>
      </c>
      <c r="AR322">
        <v>70</v>
      </c>
      <c r="AS322">
        <v>3</v>
      </c>
      <c r="AT322">
        <v>178</v>
      </c>
      <c r="AU322">
        <v>17</v>
      </c>
      <c r="AV322">
        <v>1</v>
      </c>
      <c r="AW322" t="s">
        <v>89</v>
      </c>
      <c r="AX322" t="str">
        <f>HYPERLINK(".\links\PREV-RHOD-PEP\TI-2-PREV-RHOD-PEP.txt","Contig17971_343")</f>
        <v>Contig17971_343</v>
      </c>
      <c r="AY322" s="3">
        <v>7.9999999999999999E-45</v>
      </c>
      <c r="AZ322" t="s">
        <v>1009</v>
      </c>
      <c r="BA322">
        <v>174</v>
      </c>
      <c r="BB322">
        <v>113</v>
      </c>
      <c r="BC322">
        <v>285</v>
      </c>
      <c r="BD322">
        <v>73</v>
      </c>
      <c r="BE322">
        <v>40</v>
      </c>
      <c r="BF322">
        <v>30</v>
      </c>
      <c r="BG322">
        <v>0</v>
      </c>
      <c r="BH322">
        <v>172</v>
      </c>
      <c r="BI322">
        <v>17</v>
      </c>
      <c r="BJ322">
        <v>1</v>
      </c>
      <c r="BK322" t="s">
        <v>451</v>
      </c>
      <c r="BL322">
        <f>HYPERLINK(".\links\GO\TI-2-GO.txt",1E-20)</f>
        <v>9.9999999999999995E-21</v>
      </c>
      <c r="BM322" t="s">
        <v>373</v>
      </c>
      <c r="BN322" t="s">
        <v>373</v>
      </c>
      <c r="BO322"/>
      <c r="BP322" t="s">
        <v>374</v>
      </c>
      <c r="BQ322">
        <v>1.0000000000000001E-15</v>
      </c>
      <c r="BR322" t="s">
        <v>356</v>
      </c>
      <c r="BS322" t="s">
        <v>323</v>
      </c>
      <c r="BT322" t="s">
        <v>334</v>
      </c>
      <c r="BU322" t="s">
        <v>357</v>
      </c>
      <c r="BV322">
        <v>1.0000000000000001E-15</v>
      </c>
      <c r="BW322" t="s">
        <v>380</v>
      </c>
      <c r="BX322" t="s">
        <v>373</v>
      </c>
      <c r="BY322"/>
      <c r="BZ322" t="s">
        <v>381</v>
      </c>
      <c r="CA322">
        <v>1.0000000000000001E-15</v>
      </c>
      <c r="CB322" t="s">
        <v>8</v>
      </c>
      <c r="CC322"/>
      <c r="CD322"/>
      <c r="CE322" t="s">
        <v>8</v>
      </c>
      <c r="CF322"/>
      <c r="CG322"/>
      <c r="CH322" t="s">
        <v>8</v>
      </c>
      <c r="CI322"/>
      <c r="CJ322" t="s">
        <v>8</v>
      </c>
      <c r="CK322"/>
      <c r="CL322" t="s">
        <v>8</v>
      </c>
      <c r="CM322"/>
      <c r="CN322" t="s">
        <v>8</v>
      </c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 t="s">
        <v>8</v>
      </c>
      <c r="DC322"/>
      <c r="DD322"/>
      <c r="DE322"/>
      <c r="DF322"/>
      <c r="DG322"/>
      <c r="DH322"/>
      <c r="DI322"/>
      <c r="DJ322"/>
      <c r="DK322"/>
      <c r="DL322"/>
      <c r="DM322"/>
      <c r="DN322"/>
      <c r="DO322"/>
    </row>
    <row r="323" spans="1:119" s="4" customFormat="1">
      <c r="A323" s="6" t="str">
        <f>HYPERLINK(".\links\pep\TI-198-pep.txt","TI-198")</f>
        <v>TI-198</v>
      </c>
      <c r="B323" s="6">
        <v>198</v>
      </c>
      <c r="C323" s="6" t="s">
        <v>12</v>
      </c>
      <c r="D323" s="6">
        <v>183</v>
      </c>
      <c r="E323" s="7">
        <v>2.1857920000000002</v>
      </c>
      <c r="F323" s="6" t="str">
        <f>HYPERLINK(".\links\cds\TI-198-cds.txt","TI-198")</f>
        <v>TI-198</v>
      </c>
      <c r="G323" s="6">
        <v>547</v>
      </c>
      <c r="H323" s="6"/>
      <c r="I323" s="6" t="s">
        <v>8</v>
      </c>
      <c r="J323" s="6" t="s">
        <v>8</v>
      </c>
      <c r="K323" s="6">
        <v>1</v>
      </c>
      <c r="L323" s="6">
        <v>0</v>
      </c>
      <c r="M323" s="6">
        <f t="shared" si="6"/>
        <v>1</v>
      </c>
      <c r="N323" s="6" t="s">
        <v>1170</v>
      </c>
      <c r="O323" s="6" t="s">
        <v>1171</v>
      </c>
      <c r="P323" s="6"/>
      <c r="Q323" s="6"/>
      <c r="R323" s="6"/>
      <c r="S323" s="6" t="s">
        <v>8</v>
      </c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 t="s">
        <v>8</v>
      </c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 t="s">
        <v>8</v>
      </c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 t="s">
        <v>8</v>
      </c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 t="s">
        <v>8</v>
      </c>
      <c r="CC323" s="6"/>
      <c r="CD323" s="6"/>
      <c r="CE323" s="6" t="s">
        <v>8</v>
      </c>
      <c r="CF323" s="6"/>
      <c r="CG323" s="6"/>
      <c r="CH323" s="6" t="s">
        <v>8</v>
      </c>
      <c r="CI323" s="6"/>
      <c r="CJ323" s="6" t="s">
        <v>8</v>
      </c>
      <c r="CK323" s="6"/>
      <c r="CL323" s="6" t="s">
        <v>8</v>
      </c>
      <c r="CM323" s="6"/>
      <c r="CN323" s="6" t="s">
        <v>8</v>
      </c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 t="s">
        <v>8</v>
      </c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</row>
    <row r="324" spans="1:119" s="4" customFormat="1">
      <c r="A324" s="6" t="str">
        <f>HYPERLINK(".\links\pep\TI-193-pep.txt","TI-193")</f>
        <v>TI-193</v>
      </c>
      <c r="B324" s="6">
        <v>193</v>
      </c>
      <c r="C324" s="6" t="s">
        <v>7</v>
      </c>
      <c r="D324" s="6">
        <v>13</v>
      </c>
      <c r="E324" s="6">
        <v>0</v>
      </c>
      <c r="F324" s="6" t="str">
        <f>HYPERLINK(".\links\cds\TI-193-cds.txt","TI-193")</f>
        <v>TI-193</v>
      </c>
      <c r="G324" s="6">
        <v>42</v>
      </c>
      <c r="H324" s="6"/>
      <c r="I324" s="6" t="s">
        <v>29</v>
      </c>
      <c r="J324" s="6" t="s">
        <v>6</v>
      </c>
      <c r="K324" s="6">
        <v>1</v>
      </c>
      <c r="L324" s="6">
        <v>0</v>
      </c>
      <c r="M324" s="6">
        <f t="shared" si="6"/>
        <v>1</v>
      </c>
      <c r="N324" s="6" t="s">
        <v>1170</v>
      </c>
      <c r="O324" s="6" t="s">
        <v>1171</v>
      </c>
      <c r="P324" s="6"/>
      <c r="Q324" s="6"/>
      <c r="R324" s="6"/>
      <c r="S324" s="6" t="s">
        <v>8</v>
      </c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 t="s">
        <v>8</v>
      </c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 t="s">
        <v>8</v>
      </c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 t="s">
        <v>8</v>
      </c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 t="s">
        <v>8</v>
      </c>
      <c r="CC324" s="6"/>
      <c r="CD324" s="6"/>
      <c r="CE324" s="6" t="s">
        <v>8</v>
      </c>
      <c r="CF324" s="6"/>
      <c r="CG324" s="6"/>
      <c r="CH324" s="6" t="s">
        <v>8</v>
      </c>
      <c r="CI324" s="6"/>
      <c r="CJ324" s="6" t="s">
        <v>8</v>
      </c>
      <c r="CK324" s="6"/>
      <c r="CL324" s="6" t="s">
        <v>8</v>
      </c>
      <c r="CM324" s="6"/>
      <c r="CN324" s="6" t="s">
        <v>8</v>
      </c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 t="s">
        <v>8</v>
      </c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</row>
    <row r="325" spans="1:119" s="4" customFormat="1">
      <c r="A325" s="6" t="str">
        <f>HYPERLINK(".\links\pep\TI-189-pep.txt","TI-189")</f>
        <v>TI-189</v>
      </c>
      <c r="B325" s="6">
        <v>189</v>
      </c>
      <c r="C325" s="6" t="s">
        <v>7</v>
      </c>
      <c r="D325" s="6">
        <v>76</v>
      </c>
      <c r="E325" s="6">
        <v>0</v>
      </c>
      <c r="F325" s="6" t="str">
        <f>HYPERLINK(".\links\cds\TI-189-cds.txt","TI-189")</f>
        <v>TI-189</v>
      </c>
      <c r="G325" s="6">
        <v>231</v>
      </c>
      <c r="H325" s="6"/>
      <c r="I325" s="6" t="s">
        <v>29</v>
      </c>
      <c r="J325" s="6" t="s">
        <v>6</v>
      </c>
      <c r="K325" s="6">
        <v>1</v>
      </c>
      <c r="L325" s="6">
        <v>0</v>
      </c>
      <c r="M325" s="6">
        <f t="shared" si="6"/>
        <v>1</v>
      </c>
      <c r="N325" s="6" t="s">
        <v>1170</v>
      </c>
      <c r="O325" s="6" t="s">
        <v>1171</v>
      </c>
      <c r="P325" s="6"/>
      <c r="Q325" s="6"/>
      <c r="R325" s="6"/>
      <c r="S325" s="6" t="str">
        <f>HYPERLINK(".\links\NR-LIGHT\TI-189-NR-LIGHT.txt","hypothetical protein LOC100575189 isoform 1")</f>
        <v>hypothetical protein LOC100575189 isoform 1</v>
      </c>
      <c r="T325" s="6" t="str">
        <f>HYPERLINK("http://www.ncbi.nlm.nih.gov/sutils/blink.cgi?pid=328702895","1E-005")</f>
        <v>1E-005</v>
      </c>
      <c r="U325" s="6" t="str">
        <f>HYPERLINK("http://www.ncbi.nlm.nih.gov/protein/328702895","gi|328702895")</f>
        <v>gi|328702895</v>
      </c>
      <c r="V325" s="6">
        <v>50.8</v>
      </c>
      <c r="W325" s="6">
        <v>56</v>
      </c>
      <c r="X325" s="6">
        <v>334</v>
      </c>
      <c r="Y325" s="6">
        <v>46</v>
      </c>
      <c r="Z325" s="6">
        <v>17</v>
      </c>
      <c r="AA325" s="6">
        <v>32</v>
      </c>
      <c r="AB325" s="6">
        <v>3</v>
      </c>
      <c r="AC325" s="6">
        <v>5</v>
      </c>
      <c r="AD325" s="6">
        <v>8</v>
      </c>
      <c r="AE325" s="6">
        <v>1</v>
      </c>
      <c r="AF325" s="6"/>
      <c r="AG325" s="6" t="s">
        <v>13</v>
      </c>
      <c r="AH325" s="6" t="s">
        <v>51</v>
      </c>
      <c r="AI325" s="6" t="s">
        <v>264</v>
      </c>
      <c r="AJ325" s="6" t="s">
        <v>8</v>
      </c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 t="s">
        <v>8</v>
      </c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 t="s">
        <v>690</v>
      </c>
      <c r="BL325" s="6">
        <f>HYPERLINK(".\links\GO\TI-189-GO.txt",0.001)</f>
        <v>1E-3</v>
      </c>
      <c r="BM325" s="6" t="s">
        <v>339</v>
      </c>
      <c r="BN325" s="6" t="s">
        <v>340</v>
      </c>
      <c r="BO325" s="6" t="s">
        <v>341</v>
      </c>
      <c r="BP325" s="6" t="s">
        <v>342</v>
      </c>
      <c r="BQ325" s="6">
        <v>1E-3</v>
      </c>
      <c r="BR325" s="6" t="s">
        <v>447</v>
      </c>
      <c r="BS325" s="6" t="s">
        <v>323</v>
      </c>
      <c r="BT325" s="6" t="s">
        <v>334</v>
      </c>
      <c r="BU325" s="6" t="s">
        <v>448</v>
      </c>
      <c r="BV325" s="6">
        <v>1E-3</v>
      </c>
      <c r="BW325" s="6" t="s">
        <v>691</v>
      </c>
      <c r="BX325" s="6" t="s">
        <v>340</v>
      </c>
      <c r="BY325" s="6" t="s">
        <v>341</v>
      </c>
      <c r="BZ325" s="6" t="s">
        <v>692</v>
      </c>
      <c r="CA325" s="6">
        <v>1E-3</v>
      </c>
      <c r="CB325" s="6" t="s">
        <v>8</v>
      </c>
      <c r="CC325" s="6"/>
      <c r="CD325" s="6"/>
      <c r="CE325" s="6" t="s">
        <v>8</v>
      </c>
      <c r="CF325" s="6"/>
      <c r="CG325" s="6"/>
      <c r="CH325" s="6" t="s">
        <v>8</v>
      </c>
      <c r="CI325" s="6"/>
      <c r="CJ325" s="6" t="s">
        <v>8</v>
      </c>
      <c r="CK325" s="6"/>
      <c r="CL325" s="6" t="s">
        <v>8</v>
      </c>
      <c r="CM325" s="6"/>
      <c r="CN325" s="6" t="s">
        <v>8</v>
      </c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 t="s">
        <v>8</v>
      </c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</row>
    <row r="326" spans="1:119" s="4" customFormat="1">
      <c r="A326" t="str">
        <f>HYPERLINK(".\links\pep\TI-188-pep.txt","TI-188")</f>
        <v>TI-188</v>
      </c>
      <c r="B326">
        <v>188</v>
      </c>
      <c r="C326" t="s">
        <v>7</v>
      </c>
      <c r="D326">
        <v>156</v>
      </c>
      <c r="E326">
        <v>0</v>
      </c>
      <c r="F326" t="str">
        <f>HYPERLINK(".\links\cds\TI-188-cds.txt","TI-188")</f>
        <v>TI-188</v>
      </c>
      <c r="G326">
        <v>467</v>
      </c>
      <c r="H326"/>
      <c r="I326" t="s">
        <v>29</v>
      </c>
      <c r="J326" t="s">
        <v>8</v>
      </c>
      <c r="K326">
        <v>1</v>
      </c>
      <c r="L326">
        <v>0</v>
      </c>
      <c r="M326">
        <f t="shared" si="6"/>
        <v>1</v>
      </c>
      <c r="N326" t="s">
        <v>1290</v>
      </c>
      <c r="O326" t="s">
        <v>1178</v>
      </c>
      <c r="P326" t="str">
        <f>HYPERLINK(".\links\NR-LIGHT\TI-188-NR-LIGHT.txt","NR-LIGHT")</f>
        <v>NR-LIGHT</v>
      </c>
      <c r="Q326">
        <v>2.0000000000000002E-15</v>
      </c>
      <c r="R326">
        <v>21.9</v>
      </c>
      <c r="S326" t="str">
        <f>HYPERLINK(".\links\NR-LIGHT\TI-188-NR-LIGHT.txt","similar to ENSANGP00000031364")</f>
        <v>similar to ENSANGP00000031364</v>
      </c>
      <c r="T326" t="str">
        <f>HYPERLINK("http://www.ncbi.nlm.nih.gov/sutils/blink.cgi?pid=156538801","2E-015")</f>
        <v>2E-015</v>
      </c>
      <c r="U326" t="str">
        <f>HYPERLINK("http://www.ncbi.nlm.nih.gov/protein/156538801","gi|156538801")</f>
        <v>gi|156538801</v>
      </c>
      <c r="V326">
        <v>83.6</v>
      </c>
      <c r="W326">
        <v>56</v>
      </c>
      <c r="X326">
        <v>260</v>
      </c>
      <c r="Y326">
        <v>70</v>
      </c>
      <c r="Z326">
        <v>22</v>
      </c>
      <c r="AA326">
        <v>17</v>
      </c>
      <c r="AB326">
        <v>0</v>
      </c>
      <c r="AC326">
        <v>1</v>
      </c>
      <c r="AD326">
        <v>1</v>
      </c>
      <c r="AE326">
        <v>1</v>
      </c>
      <c r="AF326"/>
      <c r="AG326" t="s">
        <v>13</v>
      </c>
      <c r="AH326" t="s">
        <v>51</v>
      </c>
      <c r="AI326" t="s">
        <v>274</v>
      </c>
      <c r="AJ326" t="str">
        <f>HYPERLINK(".\links\SWISSP\TI-188-SWISSP.txt","Upstream activation factor subunit spp27 OS=Schizosaccharomyces pombe (strain")</f>
        <v>Upstream activation factor subunit spp27 OS=Schizosaccharomyces pombe (strain</v>
      </c>
      <c r="AK326" t="str">
        <f>HYPERLINK("http://www.uniprot.org/uniprot/O74503","0.006")</f>
        <v>0.006</v>
      </c>
      <c r="AL326" t="s">
        <v>158</v>
      </c>
      <c r="AM326">
        <v>40</v>
      </c>
      <c r="AN326">
        <v>50</v>
      </c>
      <c r="AO326">
        <v>233</v>
      </c>
      <c r="AP326">
        <v>37</v>
      </c>
      <c r="AQ326">
        <v>22</v>
      </c>
      <c r="AR326">
        <v>32</v>
      </c>
      <c r="AS326">
        <v>0</v>
      </c>
      <c r="AT326">
        <v>2</v>
      </c>
      <c r="AU326">
        <v>7</v>
      </c>
      <c r="AV326">
        <v>1</v>
      </c>
      <c r="AW326" t="s">
        <v>159</v>
      </c>
      <c r="AX326" t="str">
        <f>HYPERLINK(".\links\PREV-RHOD-PEP\TI-188-PREV-RHOD-PEP.txt","Contig17372_9")</f>
        <v>Contig17372_9</v>
      </c>
      <c r="AY326" s="3">
        <v>1E-25</v>
      </c>
      <c r="AZ326" t="s">
        <v>1074</v>
      </c>
      <c r="BA326">
        <v>111</v>
      </c>
      <c r="BB326">
        <v>56</v>
      </c>
      <c r="BC326">
        <v>268</v>
      </c>
      <c r="BD326">
        <v>98</v>
      </c>
      <c r="BE326">
        <v>21</v>
      </c>
      <c r="BF326">
        <v>1</v>
      </c>
      <c r="BG326">
        <v>0</v>
      </c>
      <c r="BH326">
        <v>1</v>
      </c>
      <c r="BI326">
        <v>1</v>
      </c>
      <c r="BJ326">
        <v>1</v>
      </c>
      <c r="BK326" t="s">
        <v>681</v>
      </c>
      <c r="BL326">
        <f>HYPERLINK(".\links\GO\TI-188-GO.txt",0.002)</f>
        <v>2E-3</v>
      </c>
      <c r="BM326" t="s">
        <v>682</v>
      </c>
      <c r="BN326" t="s">
        <v>683</v>
      </c>
      <c r="BO326" t="s">
        <v>684</v>
      </c>
      <c r="BP326" t="s">
        <v>685</v>
      </c>
      <c r="BQ326">
        <v>2E-3</v>
      </c>
      <c r="BR326" t="s">
        <v>686</v>
      </c>
      <c r="BS326" t="s">
        <v>323</v>
      </c>
      <c r="BT326" t="s">
        <v>334</v>
      </c>
      <c r="BU326" t="s">
        <v>687</v>
      </c>
      <c r="BV326">
        <v>2E-3</v>
      </c>
      <c r="BW326" t="s">
        <v>688</v>
      </c>
      <c r="BX326" t="s">
        <v>683</v>
      </c>
      <c r="BY326" t="s">
        <v>684</v>
      </c>
      <c r="BZ326" t="s">
        <v>689</v>
      </c>
      <c r="CA326">
        <v>2E-3</v>
      </c>
      <c r="CB326" t="s">
        <v>8</v>
      </c>
      <c r="CC326"/>
      <c r="CD326"/>
      <c r="CE326" t="s">
        <v>8</v>
      </c>
      <c r="CF326"/>
      <c r="CG326"/>
      <c r="CH326" t="s">
        <v>8</v>
      </c>
      <c r="CI326"/>
      <c r="CJ326" t="s">
        <v>8</v>
      </c>
      <c r="CK326"/>
      <c r="CL326" t="s">
        <v>8</v>
      </c>
      <c r="CM326"/>
      <c r="CN326" t="s">
        <v>8</v>
      </c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 t="s">
        <v>8</v>
      </c>
      <c r="DC326"/>
      <c r="DD326"/>
      <c r="DE326"/>
      <c r="DF326"/>
      <c r="DG326"/>
      <c r="DH326"/>
      <c r="DI326"/>
      <c r="DJ326"/>
      <c r="DK326"/>
      <c r="DL326"/>
      <c r="DM326"/>
      <c r="DN326"/>
      <c r="DO326"/>
    </row>
    <row r="327" spans="1:119" s="4" customFormat="1">
      <c r="A327" t="str">
        <f>HYPERLINK(".\links\pep\TI-184-pep.txt","TI-184")</f>
        <v>TI-184</v>
      </c>
      <c r="B327">
        <v>184</v>
      </c>
      <c r="C327" t="s">
        <v>27</v>
      </c>
      <c r="D327">
        <v>147</v>
      </c>
      <c r="E327">
        <v>0</v>
      </c>
      <c r="F327" t="str">
        <f>HYPERLINK(".\links\cds\TI-184-cds.txt","TI-184")</f>
        <v>TI-184</v>
      </c>
      <c r="G327">
        <v>440</v>
      </c>
      <c r="H327"/>
      <c r="I327" t="s">
        <v>8</v>
      </c>
      <c r="J327" t="s">
        <v>8</v>
      </c>
      <c r="K327">
        <v>2</v>
      </c>
      <c r="L327">
        <v>0</v>
      </c>
      <c r="M327">
        <f t="shared" si="6"/>
        <v>2</v>
      </c>
      <c r="N327" t="s">
        <v>1288</v>
      </c>
      <c r="O327" t="s">
        <v>1197</v>
      </c>
      <c r="P327" t="str">
        <f>HYPERLINK(".\links\GO\TI-184-GO.txt","GO")</f>
        <v>GO</v>
      </c>
      <c r="Q327">
        <v>2.9999999999999999E-7</v>
      </c>
      <c r="R327">
        <v>14.7</v>
      </c>
      <c r="S327" t="str">
        <f>HYPERLINK(".\links\NR-LIGHT\TI-184-NR-LIGHT.txt","J domain-containing protein C21orf55, putative")</f>
        <v>J domain-containing protein C21orf55, putative</v>
      </c>
      <c r="T327" t="str">
        <f>HYPERLINK("http://www.ncbi.nlm.nih.gov/sutils/blink.cgi?pid=242018813","3E-032")</f>
        <v>3E-032</v>
      </c>
      <c r="U327" t="str">
        <f>HYPERLINK("http://www.ncbi.nlm.nih.gov/protein/242018813","gi|242018813")</f>
        <v>gi|242018813</v>
      </c>
      <c r="V327">
        <v>139</v>
      </c>
      <c r="W327">
        <v>113</v>
      </c>
      <c r="X327">
        <v>367</v>
      </c>
      <c r="Y327">
        <v>60</v>
      </c>
      <c r="Z327">
        <v>31</v>
      </c>
      <c r="AA327">
        <v>45</v>
      </c>
      <c r="AB327">
        <v>4</v>
      </c>
      <c r="AC327">
        <v>33</v>
      </c>
      <c r="AD327">
        <v>38</v>
      </c>
      <c r="AE327">
        <v>1</v>
      </c>
      <c r="AF327"/>
      <c r="AG327" t="s">
        <v>13</v>
      </c>
      <c r="AH327" t="s">
        <v>51</v>
      </c>
      <c r="AI327" t="s">
        <v>268</v>
      </c>
      <c r="AJ327" t="str">
        <f>HYPERLINK(".\links\SWISSP\TI-184-SWISSP.txt","DnaJ homolog subfamily C member 28 OS=Homo sapiens GN=DNAJC28 PE=1 SV=2")</f>
        <v>DnaJ homolog subfamily C member 28 OS=Homo sapiens GN=DNAJC28 PE=1 SV=2</v>
      </c>
      <c r="AK327" t="str">
        <f>HYPERLINK("http://www.uniprot.org/uniprot/Q9NX36","2E-015")</f>
        <v>2E-015</v>
      </c>
      <c r="AL327" t="s">
        <v>156</v>
      </c>
      <c r="AM327">
        <v>80.900000000000006</v>
      </c>
      <c r="AN327">
        <v>106</v>
      </c>
      <c r="AO327">
        <v>388</v>
      </c>
      <c r="AP327">
        <v>38</v>
      </c>
      <c r="AQ327">
        <v>28</v>
      </c>
      <c r="AR327">
        <v>70</v>
      </c>
      <c r="AS327">
        <v>6</v>
      </c>
      <c r="AT327">
        <v>45</v>
      </c>
      <c r="AU327">
        <v>35</v>
      </c>
      <c r="AV327">
        <v>1</v>
      </c>
      <c r="AW327" t="s">
        <v>68</v>
      </c>
      <c r="AX327" t="str">
        <f>HYPERLINK(".\links\PREV-RHOD-PEP\TI-184-PREV-RHOD-PEP.txt","Contig4177_3")</f>
        <v>Contig4177_3</v>
      </c>
      <c r="AY327" s="3">
        <v>1.9999999999999998E-65</v>
      </c>
      <c r="AZ327" t="s">
        <v>1072</v>
      </c>
      <c r="BA327">
        <v>243</v>
      </c>
      <c r="BB327">
        <v>144</v>
      </c>
      <c r="BC327">
        <v>286</v>
      </c>
      <c r="BD327">
        <v>80</v>
      </c>
      <c r="BE327">
        <v>51</v>
      </c>
      <c r="BF327">
        <v>28</v>
      </c>
      <c r="BG327">
        <v>1</v>
      </c>
      <c r="BH327">
        <v>1</v>
      </c>
      <c r="BI327">
        <v>2</v>
      </c>
      <c r="BJ327">
        <v>1</v>
      </c>
      <c r="BK327" t="s">
        <v>669</v>
      </c>
      <c r="BL327">
        <f>HYPERLINK(".\links\GO\TI-184-GO.txt",0.00000007)</f>
        <v>7.0000000000000005E-8</v>
      </c>
      <c r="BM327" t="s">
        <v>670</v>
      </c>
      <c r="BN327" t="s">
        <v>463</v>
      </c>
      <c r="BO327" t="s">
        <v>464</v>
      </c>
      <c r="BP327" t="s">
        <v>671</v>
      </c>
      <c r="BQ327">
        <v>2.9999999999999999E-7</v>
      </c>
      <c r="BR327" t="s">
        <v>447</v>
      </c>
      <c r="BS327" t="s">
        <v>323</v>
      </c>
      <c r="BT327" t="s">
        <v>334</v>
      </c>
      <c r="BU327" t="s">
        <v>448</v>
      </c>
      <c r="BV327">
        <v>2.9999999999999999E-7</v>
      </c>
      <c r="BW327" t="s">
        <v>672</v>
      </c>
      <c r="BX327" t="s">
        <v>463</v>
      </c>
      <c r="BY327" t="s">
        <v>464</v>
      </c>
      <c r="BZ327" t="s">
        <v>673</v>
      </c>
      <c r="CA327">
        <v>2.9999999999999999E-7</v>
      </c>
      <c r="CB327" t="s">
        <v>8</v>
      </c>
      <c r="CC327"/>
      <c r="CD327"/>
      <c r="CE327" t="s">
        <v>8</v>
      </c>
      <c r="CF327"/>
      <c r="CG327"/>
      <c r="CH327" t="s">
        <v>8</v>
      </c>
      <c r="CI327"/>
      <c r="CJ327" t="s">
        <v>8</v>
      </c>
      <c r="CK327"/>
      <c r="CL327" t="s">
        <v>8</v>
      </c>
      <c r="CM327"/>
      <c r="CN327" t="s">
        <v>8</v>
      </c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 t="s">
        <v>8</v>
      </c>
      <c r="DC327"/>
      <c r="DD327"/>
      <c r="DE327"/>
      <c r="DF327"/>
      <c r="DG327"/>
      <c r="DH327"/>
      <c r="DI327"/>
      <c r="DJ327"/>
      <c r="DK327"/>
      <c r="DL327"/>
      <c r="DM327"/>
      <c r="DN327"/>
      <c r="DO327"/>
    </row>
    <row r="328" spans="1:119" s="4" customFormat="1">
      <c r="A328" t="str">
        <f>HYPERLINK(".\links\pep\TI-183-pep.txt","TI-183")</f>
        <v>TI-183</v>
      </c>
      <c r="B328">
        <v>183</v>
      </c>
      <c r="C328" t="s">
        <v>19</v>
      </c>
      <c r="D328">
        <v>195</v>
      </c>
      <c r="E328" s="2">
        <v>1.538462</v>
      </c>
      <c r="F328" t="str">
        <f>HYPERLINK(".\links\cds\TI-183-cds.txt","TI-183")</f>
        <v>TI-183</v>
      </c>
      <c r="G328">
        <v>588</v>
      </c>
      <c r="H328"/>
      <c r="I328" t="s">
        <v>8</v>
      </c>
      <c r="J328" t="s">
        <v>6</v>
      </c>
      <c r="K328">
        <v>2</v>
      </c>
      <c r="L328">
        <v>0</v>
      </c>
      <c r="M328">
        <f t="shared" si="6"/>
        <v>2</v>
      </c>
      <c r="N328" t="s">
        <v>1174</v>
      </c>
      <c r="O328" t="s">
        <v>1175</v>
      </c>
      <c r="P328" t="str">
        <f>HYPERLINK(".\links\NR-LIGHT\TI-183-NR-LIGHT.txt","NR-LIGHT")</f>
        <v>NR-LIGHT</v>
      </c>
      <c r="Q328" s="3">
        <v>9.9999999999999994E-50</v>
      </c>
      <c r="R328">
        <v>50.2</v>
      </c>
      <c r="S328" t="str">
        <f>HYPERLINK(".\links\NR-LIGHT\TI-183-NR-LIGHT.txt","cathepsin D")</f>
        <v>cathepsin D</v>
      </c>
      <c r="T328" t="str">
        <f>HYPERLINK("http://www.ncbi.nlm.nih.gov/sutils/blink.cgi?pid=301030231","1E-049")</f>
        <v>1E-049</v>
      </c>
      <c r="U328" t="str">
        <f>HYPERLINK("http://www.ncbi.nlm.nih.gov/protein/301030231","gi|301030231")</f>
        <v>gi|301030231</v>
      </c>
      <c r="V328">
        <v>197</v>
      </c>
      <c r="W328">
        <v>195</v>
      </c>
      <c r="X328">
        <v>390</v>
      </c>
      <c r="Y328">
        <v>47</v>
      </c>
      <c r="Z328">
        <v>50</v>
      </c>
      <c r="AA328">
        <v>102</v>
      </c>
      <c r="AB328">
        <v>2</v>
      </c>
      <c r="AC328">
        <v>192</v>
      </c>
      <c r="AD328">
        <v>1</v>
      </c>
      <c r="AE328">
        <v>1</v>
      </c>
      <c r="AF328"/>
      <c r="AG328" t="s">
        <v>13</v>
      </c>
      <c r="AH328" t="s">
        <v>51</v>
      </c>
      <c r="AI328" t="s">
        <v>273</v>
      </c>
      <c r="AJ328" t="str">
        <f>HYPERLINK(".\links\SWISSP\TI-183-SWISSP.txt","Lysosomal aspartic protease OS=Aedes aegypti GN=AAEL006169 PE=1 SV=2")</f>
        <v>Lysosomal aspartic protease OS=Aedes aegypti GN=AAEL006169 PE=1 SV=2</v>
      </c>
      <c r="AK328" t="str">
        <f>HYPERLINK("http://www.uniprot.org/uniprot/Q03168","6E-036")</f>
        <v>6E-036</v>
      </c>
      <c r="AL328" t="s">
        <v>103</v>
      </c>
      <c r="AM328">
        <v>150</v>
      </c>
      <c r="AN328">
        <v>192</v>
      </c>
      <c r="AO328">
        <v>387</v>
      </c>
      <c r="AP328">
        <v>41</v>
      </c>
      <c r="AQ328">
        <v>50</v>
      </c>
      <c r="AR328">
        <v>115</v>
      </c>
      <c r="AS328">
        <v>5</v>
      </c>
      <c r="AT328">
        <v>191</v>
      </c>
      <c r="AU328">
        <v>1</v>
      </c>
      <c r="AV328">
        <v>1</v>
      </c>
      <c r="AW328" t="s">
        <v>76</v>
      </c>
      <c r="AX328" t="str">
        <f>HYPERLINK(".\links\PREV-RHOD-PEP\TI-183-PREV-RHOD-PEP.txt","Contig808_3")</f>
        <v>Contig808_3</v>
      </c>
      <c r="AY328" s="3">
        <v>9.0000000000000002E-64</v>
      </c>
      <c r="AZ328" t="s">
        <v>1019</v>
      </c>
      <c r="BA328">
        <v>238</v>
      </c>
      <c r="BB328">
        <v>191</v>
      </c>
      <c r="BC328">
        <v>383</v>
      </c>
      <c r="BD328">
        <v>60</v>
      </c>
      <c r="BE328">
        <v>50</v>
      </c>
      <c r="BF328">
        <v>78</v>
      </c>
      <c r="BG328">
        <v>6</v>
      </c>
      <c r="BH328">
        <v>188</v>
      </c>
      <c r="BI328">
        <v>1</v>
      </c>
      <c r="BJ328">
        <v>1</v>
      </c>
      <c r="BK328" t="s">
        <v>492</v>
      </c>
      <c r="BL328">
        <f>HYPERLINK(".\links\GO\TI-183-GO.txt",1E-34)</f>
        <v>9.9999999999999993E-35</v>
      </c>
      <c r="BM328" t="s">
        <v>455</v>
      </c>
      <c r="BN328" t="s">
        <v>345</v>
      </c>
      <c r="BO328" t="s">
        <v>349</v>
      </c>
      <c r="BP328" t="s">
        <v>456</v>
      </c>
      <c r="BQ328" s="3">
        <v>5.0000000000000004E-31</v>
      </c>
      <c r="BR328" t="s">
        <v>493</v>
      </c>
      <c r="BS328" t="s">
        <v>323</v>
      </c>
      <c r="BT328" t="s">
        <v>334</v>
      </c>
      <c r="BU328" t="s">
        <v>494</v>
      </c>
      <c r="BV328" s="3">
        <v>5.0000000000000004E-31</v>
      </c>
      <c r="BW328" t="s">
        <v>495</v>
      </c>
      <c r="BX328" t="s">
        <v>345</v>
      </c>
      <c r="BY328" t="s">
        <v>349</v>
      </c>
      <c r="BZ328" t="s">
        <v>496</v>
      </c>
      <c r="CA328" s="3">
        <v>5.0000000000000004E-31</v>
      </c>
      <c r="CB328" t="s">
        <v>8</v>
      </c>
      <c r="CC328"/>
      <c r="CD328"/>
      <c r="CE328" t="s">
        <v>8</v>
      </c>
      <c r="CF328"/>
      <c r="CG328"/>
      <c r="CH328" t="s">
        <v>8</v>
      </c>
      <c r="CI328"/>
      <c r="CJ328" t="s">
        <v>8</v>
      </c>
      <c r="CK328"/>
      <c r="CL328" t="s">
        <v>8</v>
      </c>
      <c r="CM328"/>
      <c r="CN328" t="s">
        <v>8</v>
      </c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 t="s">
        <v>8</v>
      </c>
      <c r="DC328"/>
      <c r="DD328"/>
      <c r="DE328"/>
      <c r="DF328"/>
      <c r="DG328"/>
      <c r="DH328"/>
      <c r="DI328"/>
      <c r="DJ328"/>
      <c r="DK328"/>
      <c r="DL328"/>
      <c r="DM328"/>
      <c r="DN328"/>
      <c r="DO328"/>
    </row>
    <row r="329" spans="1:119" s="4" customFormat="1">
      <c r="A329" t="str">
        <f>HYPERLINK(".\links\pep\TI-182-pep.txt","TI-182")</f>
        <v>TI-182</v>
      </c>
      <c r="B329">
        <v>182</v>
      </c>
      <c r="C329" t="s">
        <v>7</v>
      </c>
      <c r="D329">
        <v>169</v>
      </c>
      <c r="E329">
        <v>0</v>
      </c>
      <c r="F329" t="str">
        <f>HYPERLINK(".\links\cds\TI-182-cds.txt","TI-182")</f>
        <v>TI-182</v>
      </c>
      <c r="G329">
        <v>510</v>
      </c>
      <c r="H329"/>
      <c r="I329" t="s">
        <v>29</v>
      </c>
      <c r="J329" t="s">
        <v>6</v>
      </c>
      <c r="K329">
        <v>2</v>
      </c>
      <c r="L329">
        <v>0</v>
      </c>
      <c r="M329">
        <f t="shared" si="6"/>
        <v>2</v>
      </c>
      <c r="N329" t="s">
        <v>1199</v>
      </c>
      <c r="O329" t="s">
        <v>1181</v>
      </c>
      <c r="P329" t="str">
        <f>HYPERLINK(".\links\NR-LIGHT\TI-182-NR-LIGHT.txt","NR-LIGHT")</f>
        <v>NR-LIGHT</v>
      </c>
      <c r="Q329" s="3">
        <v>3.9999999999999998E-82</v>
      </c>
      <c r="R329">
        <v>100</v>
      </c>
      <c r="S329" t="str">
        <f>HYPERLINK(".\links\NR-LIGHT\TI-182-NR-LIGHT.txt","tubulin polymerization promoting protein")</f>
        <v>tubulin polymerization promoting protein</v>
      </c>
      <c r="T329" t="str">
        <f>HYPERLINK("http://www.ncbi.nlm.nih.gov/sutils/blink.cgi?pid=307095196","4E-082")</f>
        <v>4E-082</v>
      </c>
      <c r="U329" t="str">
        <f>HYPERLINK("http://www.ncbi.nlm.nih.gov/protein/307095196","gi|307095196")</f>
        <v>gi|307095196</v>
      </c>
      <c r="V329">
        <v>305</v>
      </c>
      <c r="W329">
        <v>165</v>
      </c>
      <c r="X329">
        <v>166</v>
      </c>
      <c r="Y329">
        <v>91</v>
      </c>
      <c r="Z329">
        <v>100</v>
      </c>
      <c r="AA329">
        <v>14</v>
      </c>
      <c r="AB329">
        <v>0</v>
      </c>
      <c r="AC329">
        <v>1</v>
      </c>
      <c r="AD329">
        <v>4</v>
      </c>
      <c r="AE329">
        <v>1</v>
      </c>
      <c r="AF329"/>
      <c r="AG329" t="s">
        <v>13</v>
      </c>
      <c r="AH329" t="s">
        <v>51</v>
      </c>
      <c r="AI329" t="s">
        <v>278</v>
      </c>
      <c r="AJ329" t="str">
        <f>HYPERLINK(".\links\SWISSP\TI-182-SWISSP.txt","TPPP family protein CG4893 OS=Drosophila melanogaster GN=CG4893 PE=2 SV=1")</f>
        <v>TPPP family protein CG4893 OS=Drosophila melanogaster GN=CG4893 PE=2 SV=1</v>
      </c>
      <c r="AK329" t="str">
        <f>HYPERLINK("http://www.uniprot.org/uniprot/Q9VV43","3E-051")</f>
        <v>3E-051</v>
      </c>
      <c r="AL329" t="s">
        <v>155</v>
      </c>
      <c r="AM329">
        <v>200</v>
      </c>
      <c r="AN329">
        <v>144</v>
      </c>
      <c r="AO329">
        <v>192</v>
      </c>
      <c r="AP329">
        <v>67</v>
      </c>
      <c r="AQ329">
        <v>76</v>
      </c>
      <c r="AR329">
        <v>48</v>
      </c>
      <c r="AS329">
        <v>2</v>
      </c>
      <c r="AT329">
        <v>48</v>
      </c>
      <c r="AU329">
        <v>20</v>
      </c>
      <c r="AV329">
        <v>1</v>
      </c>
      <c r="AW329" t="s">
        <v>52</v>
      </c>
      <c r="AX329" t="str">
        <f>HYPERLINK(".\links\PREV-RHOD-PEP\TI-182-PREV-RHOD-PEP.txt","Contig17878_69")</f>
        <v>Contig17878_69</v>
      </c>
      <c r="AY329" s="3">
        <v>6.0000000000000001E-28</v>
      </c>
      <c r="AZ329" t="s">
        <v>1071</v>
      </c>
      <c r="BA329">
        <v>119</v>
      </c>
      <c r="BB329">
        <v>68</v>
      </c>
      <c r="BC329">
        <v>315</v>
      </c>
      <c r="BD329">
        <v>79</v>
      </c>
      <c r="BE329">
        <v>22</v>
      </c>
      <c r="BF329">
        <v>14</v>
      </c>
      <c r="BG329">
        <v>0</v>
      </c>
      <c r="BH329">
        <v>247</v>
      </c>
      <c r="BI329">
        <v>101</v>
      </c>
      <c r="BJ329">
        <v>1</v>
      </c>
      <c r="BK329" t="s">
        <v>668</v>
      </c>
      <c r="BL329">
        <f>HYPERLINK(".\links\GO\TI-182-GO.txt",9E-52)</f>
        <v>9.0000000000000001E-52</v>
      </c>
      <c r="BM329" t="s">
        <v>373</v>
      </c>
      <c r="BN329" t="s">
        <v>373</v>
      </c>
      <c r="BO329"/>
      <c r="BP329" t="s">
        <v>374</v>
      </c>
      <c r="BQ329" s="3">
        <v>9.0000000000000001E-52</v>
      </c>
      <c r="BR329" t="s">
        <v>375</v>
      </c>
      <c r="BS329" t="s">
        <v>375</v>
      </c>
      <c r="BT329"/>
      <c r="BU329" t="s">
        <v>376</v>
      </c>
      <c r="BV329" s="3">
        <v>9.0000000000000001E-52</v>
      </c>
      <c r="BW329" t="s">
        <v>380</v>
      </c>
      <c r="BX329" t="s">
        <v>373</v>
      </c>
      <c r="BY329"/>
      <c r="BZ329" t="s">
        <v>381</v>
      </c>
      <c r="CA329" s="3">
        <v>9.0000000000000001E-52</v>
      </c>
      <c r="CB329" t="s">
        <v>8</v>
      </c>
      <c r="CC329"/>
      <c r="CD329"/>
      <c r="CE329" t="s">
        <v>8</v>
      </c>
      <c r="CF329"/>
      <c r="CG329"/>
      <c r="CH329" t="s">
        <v>8</v>
      </c>
      <c r="CI329"/>
      <c r="CJ329" t="s">
        <v>8</v>
      </c>
      <c r="CK329"/>
      <c r="CL329" t="s">
        <v>8</v>
      </c>
      <c r="CM329"/>
      <c r="CN329" t="s">
        <v>8</v>
      </c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 t="s">
        <v>8</v>
      </c>
      <c r="DC329"/>
      <c r="DD329"/>
      <c r="DE329"/>
      <c r="DF329"/>
      <c r="DG329"/>
      <c r="DH329"/>
      <c r="DI329"/>
      <c r="DJ329"/>
      <c r="DK329"/>
      <c r="DL329"/>
      <c r="DM329"/>
      <c r="DN329"/>
      <c r="DO329"/>
    </row>
    <row r="330" spans="1:119" s="4" customFormat="1">
      <c r="A330" t="str">
        <f>HYPERLINK(".\links\pep\TI-181-pep.txt","TI-181")</f>
        <v>TI-181</v>
      </c>
      <c r="B330">
        <v>181</v>
      </c>
      <c r="C330" t="s">
        <v>7</v>
      </c>
      <c r="D330">
        <v>99</v>
      </c>
      <c r="E330">
        <v>0</v>
      </c>
      <c r="F330" t="str">
        <f>HYPERLINK(".\links\cds\TI-181-cds.txt","TI-181")</f>
        <v>TI-181</v>
      </c>
      <c r="G330">
        <v>300</v>
      </c>
      <c r="H330"/>
      <c r="I330" t="s">
        <v>29</v>
      </c>
      <c r="J330" t="s">
        <v>6</v>
      </c>
      <c r="K330">
        <v>1</v>
      </c>
      <c r="L330">
        <v>0</v>
      </c>
      <c r="M330">
        <f t="shared" si="6"/>
        <v>1</v>
      </c>
      <c r="N330" t="s">
        <v>1287</v>
      </c>
      <c r="O330" t="s">
        <v>1178</v>
      </c>
      <c r="P330" t="str">
        <f>HYPERLINK(".\links\NR-LIGHT\TI-181-NR-LIGHT.txt","NR-LIGHT")</f>
        <v>NR-LIGHT</v>
      </c>
      <c r="Q330" s="3">
        <v>4.0000000000000002E-22</v>
      </c>
      <c r="R330">
        <v>69.2</v>
      </c>
      <c r="S330" t="str">
        <f>HYPERLINK(".\links\NR-LIGHT\TI-181-NR-LIGHT.txt","similar to mitochondrial NADH:ubiquinone oxidoreductase ESSS subunit, putative")</f>
        <v>similar to mitochondrial NADH:ubiquinone oxidoreductase ESSS subunit, putative</v>
      </c>
      <c r="T330" t="str">
        <f>HYPERLINK("http://www.ncbi.nlm.nih.gov/sutils/blink.cgi?pid=91090522","4E-022")</f>
        <v>4E-022</v>
      </c>
      <c r="U330" t="str">
        <f>HYPERLINK("http://www.ncbi.nlm.nih.gov/protein/91090522","gi|91090522")</f>
        <v>gi|91090522</v>
      </c>
      <c r="V330">
        <v>105</v>
      </c>
      <c r="W330">
        <v>96</v>
      </c>
      <c r="X330">
        <v>140</v>
      </c>
      <c r="Y330">
        <v>51</v>
      </c>
      <c r="Z330">
        <v>69</v>
      </c>
      <c r="AA330">
        <v>47</v>
      </c>
      <c r="AB330">
        <v>0</v>
      </c>
      <c r="AC330">
        <v>44</v>
      </c>
      <c r="AD330">
        <v>3</v>
      </c>
      <c r="AE330">
        <v>1</v>
      </c>
      <c r="AF330"/>
      <c r="AG330" t="s">
        <v>13</v>
      </c>
      <c r="AH330" t="s">
        <v>51</v>
      </c>
      <c r="AI330" t="s">
        <v>266</v>
      </c>
      <c r="AJ330" t="s">
        <v>8</v>
      </c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 t="str">
        <f>HYPERLINK(".\links\PREV-RHOD-PEP\TI-181-PREV-RHOD-PEP.txt","Contig16086_9")</f>
        <v>Contig16086_9</v>
      </c>
      <c r="AY330" s="3">
        <v>7E-39</v>
      </c>
      <c r="AZ330" t="s">
        <v>1070</v>
      </c>
      <c r="BA330">
        <v>155</v>
      </c>
      <c r="BB330">
        <v>96</v>
      </c>
      <c r="BC330">
        <v>149</v>
      </c>
      <c r="BD330">
        <v>74</v>
      </c>
      <c r="BE330">
        <v>65</v>
      </c>
      <c r="BF330">
        <v>25</v>
      </c>
      <c r="BG330">
        <v>0</v>
      </c>
      <c r="BH330">
        <v>53</v>
      </c>
      <c r="BI330">
        <v>3</v>
      </c>
      <c r="BJ330">
        <v>1</v>
      </c>
      <c r="BK330" t="s">
        <v>667</v>
      </c>
      <c r="BL330">
        <f>HYPERLINK(".\links\GO\TI-181-GO.txt",4E-20)</f>
        <v>3.9999999999999998E-20</v>
      </c>
      <c r="BM330" t="s">
        <v>373</v>
      </c>
      <c r="BN330" t="s">
        <v>373</v>
      </c>
      <c r="BO330"/>
      <c r="BP330" t="s">
        <v>374</v>
      </c>
      <c r="BQ330" s="3">
        <v>3.9999999999999998E-20</v>
      </c>
      <c r="BR330" t="s">
        <v>375</v>
      </c>
      <c r="BS330" t="s">
        <v>375</v>
      </c>
      <c r="BT330"/>
      <c r="BU330" t="s">
        <v>376</v>
      </c>
      <c r="BV330" s="3">
        <v>3.9999999999999998E-20</v>
      </c>
      <c r="BW330" t="s">
        <v>380</v>
      </c>
      <c r="BX330" t="s">
        <v>373</v>
      </c>
      <c r="BY330"/>
      <c r="BZ330" t="s">
        <v>381</v>
      </c>
      <c r="CA330" s="3">
        <v>3.9999999999999998E-20</v>
      </c>
      <c r="CB330" t="s">
        <v>8</v>
      </c>
      <c r="CC330"/>
      <c r="CD330"/>
      <c r="CE330" t="s">
        <v>8</v>
      </c>
      <c r="CF330"/>
      <c r="CG330"/>
      <c r="CH330" t="s">
        <v>8</v>
      </c>
      <c r="CI330"/>
      <c r="CJ330" t="s">
        <v>8</v>
      </c>
      <c r="CK330"/>
      <c r="CL330" t="s">
        <v>8</v>
      </c>
      <c r="CM330"/>
      <c r="CN330" t="s">
        <v>8</v>
      </c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 t="s">
        <v>8</v>
      </c>
      <c r="DC330"/>
      <c r="DD330"/>
      <c r="DE330"/>
      <c r="DF330"/>
      <c r="DG330"/>
      <c r="DH330"/>
      <c r="DI330"/>
      <c r="DJ330"/>
      <c r="DK330"/>
      <c r="DL330"/>
      <c r="DM330"/>
      <c r="DN330"/>
      <c r="DO330"/>
    </row>
    <row r="331" spans="1:119" s="4" customFormat="1">
      <c r="A331" t="str">
        <f>HYPERLINK(".\links\pep\TI-180-pep.txt","TI-180")</f>
        <v>TI-180</v>
      </c>
      <c r="B331">
        <v>180</v>
      </c>
      <c r="C331" t="s">
        <v>9</v>
      </c>
      <c r="D331">
        <v>215</v>
      </c>
      <c r="E331" s="2">
        <v>4.6511630000000004</v>
      </c>
      <c r="F331" t="str">
        <f>HYPERLINK(".\links\cds\TI-180-cds.txt","TI-180")</f>
        <v>TI-180</v>
      </c>
      <c r="G331">
        <v>642</v>
      </c>
      <c r="H331" t="s">
        <v>24</v>
      </c>
      <c r="I331" t="s">
        <v>8</v>
      </c>
      <c r="J331" t="s">
        <v>8</v>
      </c>
      <c r="K331">
        <v>1</v>
      </c>
      <c r="L331">
        <v>0</v>
      </c>
      <c r="M331">
        <f t="shared" si="6"/>
        <v>1</v>
      </c>
      <c r="N331" t="s">
        <v>1198</v>
      </c>
      <c r="O331" t="s">
        <v>1178</v>
      </c>
      <c r="P331" t="str">
        <f>HYPERLINK(".\links\NR-LIGHT\TI-180-NR-LIGHT.txt","NR-LIGHT")</f>
        <v>NR-LIGHT</v>
      </c>
      <c r="Q331" s="3">
        <v>7.0000000000000006E-64</v>
      </c>
      <c r="R331">
        <v>66.8</v>
      </c>
      <c r="S331" t="str">
        <f>HYPERLINK(".\links\NR-LIGHT\TI-180-NR-LIGHT.txt","hypothetical protein TcasGA2_TC000274")</f>
        <v>hypothetical protein TcasGA2_TC000274</v>
      </c>
      <c r="T331" t="str">
        <f>HYPERLINK("http://www.ncbi.nlm.nih.gov/sutils/blink.cgi?pid=270001445","7E-064")</f>
        <v>7E-064</v>
      </c>
      <c r="U331" t="str">
        <f>HYPERLINK("http://www.ncbi.nlm.nih.gov/protein/270001445","gi|270001445")</f>
        <v>gi|270001445</v>
      </c>
      <c r="V331">
        <v>245</v>
      </c>
      <c r="W331">
        <v>201</v>
      </c>
      <c r="X331">
        <v>302</v>
      </c>
      <c r="Y331">
        <v>63</v>
      </c>
      <c r="Z331">
        <v>67</v>
      </c>
      <c r="AA331">
        <v>73</v>
      </c>
      <c r="AB331">
        <v>1</v>
      </c>
      <c r="AC331">
        <v>75</v>
      </c>
      <c r="AD331">
        <v>14</v>
      </c>
      <c r="AE331">
        <v>1</v>
      </c>
      <c r="AF331"/>
      <c r="AG331" t="s">
        <v>13</v>
      </c>
      <c r="AH331" t="s">
        <v>51</v>
      </c>
      <c r="AI331" t="s">
        <v>266</v>
      </c>
      <c r="AJ331" t="str">
        <f>HYPERLINK(".\links\SWISSP\TI-180-SWISSP.txt","Glycine N-acyltransferase-like protein 3 OS=Homo sapiens GN=GLYATL3 PE=2 SV=3")</f>
        <v>Glycine N-acyltransferase-like protein 3 OS=Homo sapiens GN=GLYATL3 PE=2 SV=3</v>
      </c>
      <c r="AK331" t="str">
        <f>HYPERLINK("http://www.uniprot.org/uniprot/Q5SZD4","7E-004")</f>
        <v>7E-004</v>
      </c>
      <c r="AL331" t="s">
        <v>80</v>
      </c>
      <c r="AM331">
        <v>43.9</v>
      </c>
      <c r="AN331">
        <v>87</v>
      </c>
      <c r="AO331">
        <v>288</v>
      </c>
      <c r="AP331">
        <v>30</v>
      </c>
      <c r="AQ331">
        <v>31</v>
      </c>
      <c r="AR331">
        <v>61</v>
      </c>
      <c r="AS331">
        <v>1</v>
      </c>
      <c r="AT331">
        <v>176</v>
      </c>
      <c r="AU331">
        <v>124</v>
      </c>
      <c r="AV331">
        <v>1</v>
      </c>
      <c r="AW331" t="s">
        <v>68</v>
      </c>
      <c r="AX331" t="str">
        <f>HYPERLINK(".\links\PREV-RHOD-PEP\TI-180-PREV-RHOD-PEP.txt","Contig17089_5")</f>
        <v>Contig17089_5</v>
      </c>
      <c r="AY331" s="3">
        <v>2.9999999999999999E-89</v>
      </c>
      <c r="AZ331" t="s">
        <v>1004</v>
      </c>
      <c r="BA331">
        <v>323</v>
      </c>
      <c r="BB331">
        <v>193</v>
      </c>
      <c r="BC331">
        <v>866</v>
      </c>
      <c r="BD331">
        <v>80</v>
      </c>
      <c r="BE331">
        <v>22</v>
      </c>
      <c r="BF331">
        <v>37</v>
      </c>
      <c r="BG331">
        <v>0</v>
      </c>
      <c r="BH331">
        <v>128</v>
      </c>
      <c r="BI331">
        <v>14</v>
      </c>
      <c r="BJ331">
        <v>1</v>
      </c>
      <c r="BK331" t="s">
        <v>415</v>
      </c>
      <c r="BL331">
        <f>HYPERLINK(".\links\GO\TI-180-GO.txt",0.003)</f>
        <v>3.0000000000000001E-3</v>
      </c>
      <c r="BM331" t="s">
        <v>416</v>
      </c>
      <c r="BN331" t="s">
        <v>345</v>
      </c>
      <c r="BO331" t="s">
        <v>346</v>
      </c>
      <c r="BP331" t="s">
        <v>417</v>
      </c>
      <c r="BQ331">
        <v>3.0000000000000001E-3</v>
      </c>
      <c r="BR331" t="s">
        <v>8</v>
      </c>
      <c r="BS331" t="s">
        <v>8</v>
      </c>
      <c r="BT331" t="s">
        <v>8</v>
      </c>
      <c r="BU331" t="s">
        <v>8</v>
      </c>
      <c r="BV331" t="s">
        <v>8</v>
      </c>
      <c r="BW331" t="s">
        <v>418</v>
      </c>
      <c r="BX331" t="s">
        <v>345</v>
      </c>
      <c r="BY331" t="s">
        <v>346</v>
      </c>
      <c r="BZ331" t="s">
        <v>419</v>
      </c>
      <c r="CA331">
        <v>3.0000000000000001E-3</v>
      </c>
      <c r="CB331" t="s">
        <v>8</v>
      </c>
      <c r="CC331"/>
      <c r="CD331"/>
      <c r="CE331" t="s">
        <v>8</v>
      </c>
      <c r="CF331"/>
      <c r="CG331"/>
      <c r="CH331" t="s">
        <v>8</v>
      </c>
      <c r="CI331"/>
      <c r="CJ331" t="s">
        <v>8</v>
      </c>
      <c r="CK331"/>
      <c r="CL331" t="s">
        <v>8</v>
      </c>
      <c r="CM331"/>
      <c r="CN331" t="s">
        <v>8</v>
      </c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 t="s">
        <v>8</v>
      </c>
      <c r="DC331"/>
      <c r="DD331"/>
      <c r="DE331"/>
      <c r="DF331"/>
      <c r="DG331"/>
      <c r="DH331"/>
      <c r="DI331"/>
      <c r="DJ331"/>
      <c r="DK331"/>
      <c r="DL331"/>
      <c r="DM331"/>
      <c r="DN331"/>
      <c r="DO331"/>
    </row>
    <row r="332" spans="1:119" s="4" customFormat="1">
      <c r="A332" s="6" t="str">
        <f>HYPERLINK(".\links\pep\TI-178-pep.txt","TI-178")</f>
        <v>TI-178</v>
      </c>
      <c r="B332" s="6">
        <v>178</v>
      </c>
      <c r="C332" s="6" t="s">
        <v>19</v>
      </c>
      <c r="D332" s="6">
        <v>156</v>
      </c>
      <c r="E332" s="6">
        <v>0</v>
      </c>
      <c r="F332" s="6" t="str">
        <f>HYPERLINK(".\links\cds\TI-178-cds.txt","TI-178")</f>
        <v>TI-178</v>
      </c>
      <c r="G332" s="6">
        <v>471</v>
      </c>
      <c r="H332" s="6"/>
      <c r="I332" s="6" t="s">
        <v>8</v>
      </c>
      <c r="J332" s="6" t="s">
        <v>6</v>
      </c>
      <c r="K332" s="6">
        <v>1</v>
      </c>
      <c r="L332" s="6">
        <v>0</v>
      </c>
      <c r="M332" s="6">
        <f t="shared" si="6"/>
        <v>1</v>
      </c>
      <c r="N332" s="6" t="s">
        <v>1170</v>
      </c>
      <c r="O332" s="6" t="s">
        <v>1171</v>
      </c>
      <c r="P332" s="6"/>
      <c r="Q332" s="6"/>
      <c r="R332" s="6"/>
      <c r="S332" s="6" t="str">
        <f>HYPERLINK(".\links\NR-LIGHT\TI-178-NR-LIGHT.txt","LOW QUALITY PROTEIN: folliculin-interacting protein 2-like")</f>
        <v>LOW QUALITY PROTEIN: folliculin-interacting protein 2-like</v>
      </c>
      <c r="T332" s="6" t="str">
        <f>HYPERLINK("http://www.ncbi.nlm.nih.gov/sutils/blink.cgi?pid=311262183","3.4")</f>
        <v>3.4</v>
      </c>
      <c r="U332" s="6" t="str">
        <f>HYPERLINK("http://www.ncbi.nlm.nih.gov/protein/311262183","gi|311262183")</f>
        <v>gi|311262183</v>
      </c>
      <c r="V332" s="6">
        <v>32.700000000000003</v>
      </c>
      <c r="W332" s="6">
        <v>57</v>
      </c>
      <c r="X332" s="6">
        <v>1044</v>
      </c>
      <c r="Y332" s="6">
        <v>35</v>
      </c>
      <c r="Z332" s="6">
        <v>6</v>
      </c>
      <c r="AA332" s="6">
        <v>38</v>
      </c>
      <c r="AB332" s="6">
        <v>1</v>
      </c>
      <c r="AC332" s="6">
        <v>409</v>
      </c>
      <c r="AD332" s="6">
        <v>55</v>
      </c>
      <c r="AE332" s="6">
        <v>1</v>
      </c>
      <c r="AF332" s="6"/>
      <c r="AG332" s="6" t="s">
        <v>13</v>
      </c>
      <c r="AH332" s="6" t="s">
        <v>51</v>
      </c>
      <c r="AI332" s="6" t="s">
        <v>283</v>
      </c>
      <c r="AJ332" s="6" t="s">
        <v>8</v>
      </c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 t="str">
        <f>HYPERLINK(".\links\PREV-RHOD-PEP\TI-178-PREV-RHOD-PEP.txt","Contig7471_2")</f>
        <v>Contig7471_2</v>
      </c>
      <c r="AY332" s="8">
        <v>2.0000000000000001E-33</v>
      </c>
      <c r="AZ332" s="6" t="s">
        <v>1069</v>
      </c>
      <c r="BA332" s="6">
        <v>137</v>
      </c>
      <c r="BB332" s="6">
        <v>140</v>
      </c>
      <c r="BC332" s="6">
        <v>410</v>
      </c>
      <c r="BD332" s="6">
        <v>50</v>
      </c>
      <c r="BE332" s="6">
        <v>34</v>
      </c>
      <c r="BF332" s="6">
        <v>70</v>
      </c>
      <c r="BG332" s="6">
        <v>1</v>
      </c>
      <c r="BH332" s="6">
        <v>149</v>
      </c>
      <c r="BI332" s="6">
        <v>15</v>
      </c>
      <c r="BJ332" s="6">
        <v>1</v>
      </c>
      <c r="BK332" s="6" t="s">
        <v>8</v>
      </c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 t="s">
        <v>8</v>
      </c>
      <c r="CC332" s="6"/>
      <c r="CD332" s="6"/>
      <c r="CE332" s="6" t="s">
        <v>8</v>
      </c>
      <c r="CF332" s="6"/>
      <c r="CG332" s="6"/>
      <c r="CH332" s="6" t="s">
        <v>8</v>
      </c>
      <c r="CI332" s="6"/>
      <c r="CJ332" s="6" t="s">
        <v>8</v>
      </c>
      <c r="CK332" s="6"/>
      <c r="CL332" s="6" t="s">
        <v>8</v>
      </c>
      <c r="CM332" s="6"/>
      <c r="CN332" s="6" t="s">
        <v>8</v>
      </c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 t="s">
        <v>8</v>
      </c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</row>
    <row r="333" spans="1:119" s="4" customFormat="1">
      <c r="A333" s="6" t="str">
        <f>HYPERLINK(".\links\pep\TI-171-pep.txt","TI-171")</f>
        <v>TI-171</v>
      </c>
      <c r="B333" s="6">
        <v>171</v>
      </c>
      <c r="C333" s="6" t="s">
        <v>12</v>
      </c>
      <c r="D333" s="6">
        <v>12</v>
      </c>
      <c r="E333" s="6">
        <v>0</v>
      </c>
      <c r="F333" s="6" t="str">
        <f>HYPERLINK(".\links\cds\TI-171-cds.txt","TI-171")</f>
        <v>TI-171</v>
      </c>
      <c r="G333" s="6">
        <v>39</v>
      </c>
      <c r="H333" s="6"/>
      <c r="I333" s="6" t="s">
        <v>8</v>
      </c>
      <c r="J333" s="6" t="s">
        <v>6</v>
      </c>
      <c r="K333" s="6">
        <v>1</v>
      </c>
      <c r="L333" s="6">
        <v>0</v>
      </c>
      <c r="M333" s="6">
        <f t="shared" si="6"/>
        <v>1</v>
      </c>
      <c r="N333" s="6" t="s">
        <v>1170</v>
      </c>
      <c r="O333" s="6" t="s">
        <v>1171</v>
      </c>
      <c r="P333" s="6"/>
      <c r="Q333" s="6"/>
      <c r="R333" s="6"/>
      <c r="S333" s="6" t="s">
        <v>8</v>
      </c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 t="s">
        <v>8</v>
      </c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 t="s">
        <v>8</v>
      </c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 t="s">
        <v>8</v>
      </c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 t="s">
        <v>8</v>
      </c>
      <c r="CC333" s="6"/>
      <c r="CD333" s="6"/>
      <c r="CE333" s="6" t="s">
        <v>8</v>
      </c>
      <c r="CF333" s="6"/>
      <c r="CG333" s="6"/>
      <c r="CH333" s="6" t="s">
        <v>8</v>
      </c>
      <c r="CI333" s="6"/>
      <c r="CJ333" s="6" t="s">
        <v>8</v>
      </c>
      <c r="CK333" s="6"/>
      <c r="CL333" s="6" t="s">
        <v>8</v>
      </c>
      <c r="CM333" s="6"/>
      <c r="CN333" s="6" t="s">
        <v>8</v>
      </c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 t="s">
        <v>8</v>
      </c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</row>
    <row r="334" spans="1:119" s="4" customFormat="1">
      <c r="A334" t="str">
        <f>HYPERLINK(".\links\pep\TI-170-pep.txt","TI-170")</f>
        <v>TI-170</v>
      </c>
      <c r="B334">
        <v>170</v>
      </c>
      <c r="C334" t="s">
        <v>22</v>
      </c>
      <c r="D334">
        <v>96</v>
      </c>
      <c r="E334">
        <v>0</v>
      </c>
      <c r="F334" t="str">
        <f>HYPERLINK(".\links\cds\TI-170-cds.txt","TI-170")</f>
        <v>TI-170</v>
      </c>
      <c r="G334">
        <v>291</v>
      </c>
      <c r="H334"/>
      <c r="I334" t="s">
        <v>8</v>
      </c>
      <c r="J334" t="s">
        <v>6</v>
      </c>
      <c r="K334">
        <v>1</v>
      </c>
      <c r="L334">
        <v>0</v>
      </c>
      <c r="M334">
        <f t="shared" si="6"/>
        <v>1</v>
      </c>
      <c r="N334" t="s">
        <v>1284</v>
      </c>
      <c r="O334" t="s">
        <v>1172</v>
      </c>
      <c r="P334" t="str">
        <f>HYPERLINK(".\links\NR-LIGHT\TI-170-NR-LIGHT.txt","NR-LIGHT")</f>
        <v>NR-LIGHT</v>
      </c>
      <c r="Q334" s="3">
        <v>1.0000000000000001E-18</v>
      </c>
      <c r="R334">
        <v>10.7</v>
      </c>
      <c r="S334" t="str">
        <f>HYPERLINK(".\links\NR-LIGHT\TI-170-NR-LIGHT.txt","solute carrier organic anion transporter family member 5A1-like")</f>
        <v>solute carrier organic anion transporter family member 5A1-like</v>
      </c>
      <c r="T334" t="str">
        <f>HYPERLINK("http://www.ncbi.nlm.nih.gov/sutils/blink.cgi?pid=328786599","1E-018")</f>
        <v>1E-018</v>
      </c>
      <c r="U334" t="str">
        <f>HYPERLINK("http://www.ncbi.nlm.nih.gov/protein/328786599","gi|328786599")</f>
        <v>gi|328786599</v>
      </c>
      <c r="V334">
        <v>94</v>
      </c>
      <c r="W334">
        <v>76</v>
      </c>
      <c r="X334">
        <v>717</v>
      </c>
      <c r="Y334">
        <v>49</v>
      </c>
      <c r="Z334">
        <v>11</v>
      </c>
      <c r="AA334">
        <v>39</v>
      </c>
      <c r="AB334">
        <v>0</v>
      </c>
      <c r="AC334">
        <v>639</v>
      </c>
      <c r="AD334">
        <v>3</v>
      </c>
      <c r="AE334">
        <v>1</v>
      </c>
      <c r="AF334"/>
      <c r="AG334" t="s">
        <v>13</v>
      </c>
      <c r="AH334" t="s">
        <v>51</v>
      </c>
      <c r="AI334" t="s">
        <v>83</v>
      </c>
      <c r="AJ334" t="str">
        <f>HYPERLINK(".\links\SWISSP\TI-170-SWISSP.txt","Solute carrier organic anion transporter family member 5A1 OS=Homo sapiens")</f>
        <v>Solute carrier organic anion transporter family member 5A1 OS=Homo sapiens</v>
      </c>
      <c r="AK334" t="str">
        <f>HYPERLINK("http://www.uniprot.org/uniprot/Q9H2Y9","1E-004")</f>
        <v>1E-004</v>
      </c>
      <c r="AL334" t="s">
        <v>151</v>
      </c>
      <c r="AM334">
        <v>45.1</v>
      </c>
      <c r="AN334">
        <v>45</v>
      </c>
      <c r="AO334">
        <v>848</v>
      </c>
      <c r="AP334">
        <v>36</v>
      </c>
      <c r="AQ334">
        <v>5</v>
      </c>
      <c r="AR334">
        <v>29</v>
      </c>
      <c r="AS334">
        <v>0</v>
      </c>
      <c r="AT334">
        <v>704</v>
      </c>
      <c r="AU334">
        <v>2</v>
      </c>
      <c r="AV334">
        <v>1</v>
      </c>
      <c r="AW334" t="s">
        <v>68</v>
      </c>
      <c r="AX334" t="str">
        <f>HYPERLINK(".\links\PREV-RHOD-PEP\TI-170-PREV-RHOD-PEP.txt","Contig17959_89")</f>
        <v>Contig17959_89</v>
      </c>
      <c r="AY334" s="3">
        <v>5.9999999999999998E-35</v>
      </c>
      <c r="AZ334" t="s">
        <v>1065</v>
      </c>
      <c r="BA334">
        <v>142</v>
      </c>
      <c r="BB334">
        <v>87</v>
      </c>
      <c r="BC334">
        <v>224</v>
      </c>
      <c r="BD334">
        <v>78</v>
      </c>
      <c r="BE334">
        <v>39</v>
      </c>
      <c r="BF334">
        <v>19</v>
      </c>
      <c r="BG334">
        <v>1</v>
      </c>
      <c r="BH334">
        <v>137</v>
      </c>
      <c r="BI334">
        <v>8</v>
      </c>
      <c r="BJ334">
        <v>1</v>
      </c>
      <c r="BK334" t="s">
        <v>658</v>
      </c>
      <c r="BL334">
        <f>HYPERLINK(".\links\GO\TI-170-GO.txt",0.0000000000000007)</f>
        <v>7.0000000000000003E-16</v>
      </c>
      <c r="BM334" t="s">
        <v>659</v>
      </c>
      <c r="BN334" t="s">
        <v>319</v>
      </c>
      <c r="BO334" t="s">
        <v>320</v>
      </c>
      <c r="BP334" t="s">
        <v>660</v>
      </c>
      <c r="BQ334" s="3">
        <v>7.0000000000000003E-16</v>
      </c>
      <c r="BR334" t="s">
        <v>322</v>
      </c>
      <c r="BS334" t="s">
        <v>323</v>
      </c>
      <c r="BT334" t="s">
        <v>324</v>
      </c>
      <c r="BU334" t="s">
        <v>325</v>
      </c>
      <c r="BV334" s="3">
        <v>7.0000000000000003E-16</v>
      </c>
      <c r="BW334" t="s">
        <v>661</v>
      </c>
      <c r="BX334" t="s">
        <v>319</v>
      </c>
      <c r="BY334" t="s">
        <v>320</v>
      </c>
      <c r="BZ334" t="s">
        <v>662</v>
      </c>
      <c r="CA334" s="3">
        <v>7.0000000000000003E-16</v>
      </c>
      <c r="CB334" t="s">
        <v>8</v>
      </c>
      <c r="CC334"/>
      <c r="CD334"/>
      <c r="CE334" t="s">
        <v>8</v>
      </c>
      <c r="CF334"/>
      <c r="CG334"/>
      <c r="CH334" t="s">
        <v>8</v>
      </c>
      <c r="CI334"/>
      <c r="CJ334" t="s">
        <v>8</v>
      </c>
      <c r="CK334"/>
      <c r="CL334" t="s">
        <v>8</v>
      </c>
      <c r="CM334"/>
      <c r="CN334" t="s">
        <v>8</v>
      </c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 t="s">
        <v>8</v>
      </c>
      <c r="DC334"/>
      <c r="DD334"/>
      <c r="DE334"/>
      <c r="DF334"/>
      <c r="DG334"/>
      <c r="DH334"/>
      <c r="DI334"/>
      <c r="DJ334"/>
      <c r="DK334"/>
      <c r="DL334"/>
      <c r="DM334"/>
      <c r="DN334"/>
      <c r="DO334"/>
    </row>
    <row r="335" spans="1:119" s="4" customFormat="1">
      <c r="A335" s="6" t="str">
        <f>HYPERLINK(".\links\pep\TI-168-pep.txt","TI-168")</f>
        <v>TI-168</v>
      </c>
      <c r="B335" s="6">
        <v>168</v>
      </c>
      <c r="C335" s="6" t="s">
        <v>10</v>
      </c>
      <c r="D335" s="6">
        <v>32</v>
      </c>
      <c r="E335" s="6">
        <v>0</v>
      </c>
      <c r="F335" s="6" t="str">
        <f>HYPERLINK(".\links\cds\TI-168-cds.txt","TI-168")</f>
        <v>TI-168</v>
      </c>
      <c r="G335" s="6">
        <v>99</v>
      </c>
      <c r="H335" s="6"/>
      <c r="I335" s="6" t="s">
        <v>8</v>
      </c>
      <c r="J335" s="6" t="s">
        <v>6</v>
      </c>
      <c r="K335" s="6">
        <v>3</v>
      </c>
      <c r="L335" s="6">
        <v>1</v>
      </c>
      <c r="M335" s="6">
        <f t="shared" si="6"/>
        <v>2</v>
      </c>
      <c r="N335" s="6" t="s">
        <v>1170</v>
      </c>
      <c r="O335" s="6" t="s">
        <v>1171</v>
      </c>
      <c r="P335" s="6"/>
      <c r="Q335" s="6"/>
      <c r="R335" s="6"/>
      <c r="S335" s="6" t="s">
        <v>8</v>
      </c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 t="s">
        <v>8</v>
      </c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 t="s">
        <v>8</v>
      </c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 t="s">
        <v>8</v>
      </c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 t="s">
        <v>8</v>
      </c>
      <c r="CC335" s="6"/>
      <c r="CD335" s="6"/>
      <c r="CE335" s="6" t="s">
        <v>8</v>
      </c>
      <c r="CF335" s="6"/>
      <c r="CG335" s="6"/>
      <c r="CH335" s="6" t="s">
        <v>8</v>
      </c>
      <c r="CI335" s="6"/>
      <c r="CJ335" s="6" t="s">
        <v>8</v>
      </c>
      <c r="CK335" s="6"/>
      <c r="CL335" s="6" t="s">
        <v>8</v>
      </c>
      <c r="CM335" s="6"/>
      <c r="CN335" s="6" t="s">
        <v>8</v>
      </c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 t="s">
        <v>8</v>
      </c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</row>
    <row r="336" spans="1:119" s="4" customFormat="1">
      <c r="A336" s="6" t="str">
        <f>HYPERLINK(".\links\pep\TI-162-pep.txt","TI-162")</f>
        <v>TI-162</v>
      </c>
      <c r="B336" s="6">
        <v>162</v>
      </c>
      <c r="C336" s="6" t="s">
        <v>26</v>
      </c>
      <c r="D336" s="6">
        <v>54</v>
      </c>
      <c r="E336" s="6">
        <v>0</v>
      </c>
      <c r="F336" s="6" t="str">
        <f>HYPERLINK(".\links\cds\TI-162-cds.txt","TI-162")</f>
        <v>TI-162</v>
      </c>
      <c r="G336" s="6">
        <v>165</v>
      </c>
      <c r="H336" s="6"/>
      <c r="I336" s="6" t="s">
        <v>8</v>
      </c>
      <c r="J336" s="6" t="s">
        <v>6</v>
      </c>
      <c r="K336" s="6">
        <v>1</v>
      </c>
      <c r="L336" s="6">
        <v>0</v>
      </c>
      <c r="M336" s="6">
        <f t="shared" si="6"/>
        <v>1</v>
      </c>
      <c r="N336" s="6" t="s">
        <v>1170</v>
      </c>
      <c r="O336" s="6" t="s">
        <v>1171</v>
      </c>
      <c r="P336" s="6"/>
      <c r="Q336" s="6"/>
      <c r="R336" s="6"/>
      <c r="S336" s="6" t="s">
        <v>8</v>
      </c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 t="s">
        <v>8</v>
      </c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 t="s">
        <v>8</v>
      </c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 t="s">
        <v>8</v>
      </c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 t="s">
        <v>8</v>
      </c>
      <c r="CC336" s="6"/>
      <c r="CD336" s="6"/>
      <c r="CE336" s="6" t="s">
        <v>8</v>
      </c>
      <c r="CF336" s="6"/>
      <c r="CG336" s="6"/>
      <c r="CH336" s="6" t="s">
        <v>8</v>
      </c>
      <c r="CI336" s="6"/>
      <c r="CJ336" s="6" t="s">
        <v>8</v>
      </c>
      <c r="CK336" s="6"/>
      <c r="CL336" s="6" t="s">
        <v>8</v>
      </c>
      <c r="CM336" s="6"/>
      <c r="CN336" s="6" t="s">
        <v>8</v>
      </c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 t="s">
        <v>8</v>
      </c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</row>
    <row r="337" spans="1:119" s="4" customFormat="1">
      <c r="A337" t="str">
        <f>HYPERLINK(".\links\pep\TI-160-pep.txt","TI-160")</f>
        <v>TI-160</v>
      </c>
      <c r="B337">
        <v>160</v>
      </c>
      <c r="C337" t="s">
        <v>7</v>
      </c>
      <c r="D337">
        <v>193</v>
      </c>
      <c r="E337" s="2">
        <v>2.0725389999999999</v>
      </c>
      <c r="F337" t="str">
        <f>HYPERLINK(".\links\cds\TI-160-cds.txt","TI-160")</f>
        <v>TI-160</v>
      </c>
      <c r="G337">
        <v>576</v>
      </c>
      <c r="H337"/>
      <c r="I337" t="s">
        <v>29</v>
      </c>
      <c r="J337" t="s">
        <v>8</v>
      </c>
      <c r="K337">
        <v>1</v>
      </c>
      <c r="L337">
        <v>0</v>
      </c>
      <c r="M337">
        <f t="shared" si="6"/>
        <v>1</v>
      </c>
      <c r="N337" t="s">
        <v>1283</v>
      </c>
      <c r="O337" t="s">
        <v>1181</v>
      </c>
      <c r="P337" t="str">
        <f>HYPERLINK(".\links\GO\TI-160-GO.txt","GO")</f>
        <v>GO</v>
      </c>
      <c r="Q337" s="3">
        <v>4.9999999999999996E-66</v>
      </c>
      <c r="R337">
        <v>52</v>
      </c>
      <c r="S337" t="str">
        <f>HYPERLINK(".\links\NR-LIGHT\TI-160-NR-LIGHT.txt","similar to splicing factor pTSR1, putative")</f>
        <v>similar to splicing factor pTSR1, putative</v>
      </c>
      <c r="T337" t="str">
        <f>HYPERLINK("http://www.ncbi.nlm.nih.gov/sutils/blink.cgi?pid=91088003","2E-082")</f>
        <v>2E-082</v>
      </c>
      <c r="U337" t="str">
        <f>HYPERLINK("http://www.ncbi.nlm.nih.gov/protein/91088003","gi|91088003")</f>
        <v>gi|91088003</v>
      </c>
      <c r="V337">
        <v>306</v>
      </c>
      <c r="W337">
        <v>192</v>
      </c>
      <c r="X337">
        <v>328</v>
      </c>
      <c r="Y337">
        <v>75</v>
      </c>
      <c r="Z337">
        <v>59</v>
      </c>
      <c r="AA337">
        <v>47</v>
      </c>
      <c r="AB337">
        <v>0</v>
      </c>
      <c r="AC337">
        <v>1</v>
      </c>
      <c r="AD337">
        <v>1</v>
      </c>
      <c r="AE337">
        <v>1</v>
      </c>
      <c r="AF337"/>
      <c r="AG337" t="s">
        <v>13</v>
      </c>
      <c r="AH337" t="s">
        <v>51</v>
      </c>
      <c r="AI337" t="s">
        <v>266</v>
      </c>
      <c r="AJ337" t="str">
        <f>HYPERLINK(".\links\SWISSP\TI-160-SWISSP.txt","Putative RNA-binding protein Luc7-like 2 OS=Homo sapiens GN=LUC7L2 PE=1 SV=2")</f>
        <v>Putative RNA-binding protein Luc7-like 2 OS=Homo sapiens GN=LUC7L2 PE=1 SV=2</v>
      </c>
      <c r="AK337" t="str">
        <f>HYPERLINK("http://www.uniprot.org/uniprot/Q9Y383","4E-068")</f>
        <v>4E-068</v>
      </c>
      <c r="AL337" t="s">
        <v>98</v>
      </c>
      <c r="AM337">
        <v>257</v>
      </c>
      <c r="AN337">
        <v>192</v>
      </c>
      <c r="AO337">
        <v>392</v>
      </c>
      <c r="AP337">
        <v>63</v>
      </c>
      <c r="AQ337">
        <v>49</v>
      </c>
      <c r="AR337">
        <v>70</v>
      </c>
      <c r="AS337">
        <v>0</v>
      </c>
      <c r="AT337">
        <v>1</v>
      </c>
      <c r="AU337">
        <v>1</v>
      </c>
      <c r="AV337">
        <v>1</v>
      </c>
      <c r="AW337" t="s">
        <v>68</v>
      </c>
      <c r="AX337" t="str">
        <f>HYPERLINK(".\links\PREV-RHOD-PEP\TI-160-PREV-RHOD-PEP.txt","Contig17364_25")</f>
        <v>Contig17364_25</v>
      </c>
      <c r="AY337" s="3">
        <v>9.9999999999999991E-97</v>
      </c>
      <c r="AZ337" t="s">
        <v>1013</v>
      </c>
      <c r="BA337">
        <v>348</v>
      </c>
      <c r="BB337">
        <v>202</v>
      </c>
      <c r="BC337">
        <v>316</v>
      </c>
      <c r="BD337">
        <v>84</v>
      </c>
      <c r="BE337">
        <v>64</v>
      </c>
      <c r="BF337">
        <v>31</v>
      </c>
      <c r="BG337">
        <v>10</v>
      </c>
      <c r="BH337">
        <v>1</v>
      </c>
      <c r="BI337">
        <v>1</v>
      </c>
      <c r="BJ337">
        <v>1</v>
      </c>
      <c r="BK337" t="s">
        <v>472</v>
      </c>
      <c r="BL337">
        <f>HYPERLINK(".\links\GO\TI-160-GO.txt",3E-71)</f>
        <v>3.0000000000000001E-71</v>
      </c>
      <c r="BM337" t="s">
        <v>339</v>
      </c>
      <c r="BN337" t="s">
        <v>340</v>
      </c>
      <c r="BO337" t="s">
        <v>341</v>
      </c>
      <c r="BP337" t="s">
        <v>342</v>
      </c>
      <c r="BQ337" s="3">
        <v>4.9999999999999996E-66</v>
      </c>
      <c r="BR337" t="s">
        <v>447</v>
      </c>
      <c r="BS337" t="s">
        <v>323</v>
      </c>
      <c r="BT337" t="s">
        <v>334</v>
      </c>
      <c r="BU337" t="s">
        <v>448</v>
      </c>
      <c r="BV337" s="3">
        <v>4.9999999999999996E-66</v>
      </c>
      <c r="BW337" t="s">
        <v>473</v>
      </c>
      <c r="BX337" t="s">
        <v>340</v>
      </c>
      <c r="BY337" t="s">
        <v>341</v>
      </c>
      <c r="BZ337" t="s">
        <v>474</v>
      </c>
      <c r="CA337" s="3">
        <v>4.9999999999999996E-66</v>
      </c>
      <c r="CB337" t="s">
        <v>8</v>
      </c>
      <c r="CC337"/>
      <c r="CD337"/>
      <c r="CE337" t="s">
        <v>8</v>
      </c>
      <c r="CF337"/>
      <c r="CG337"/>
      <c r="CH337" t="s">
        <v>8</v>
      </c>
      <c r="CI337"/>
      <c r="CJ337" t="s">
        <v>8</v>
      </c>
      <c r="CK337"/>
      <c r="CL337" t="s">
        <v>8</v>
      </c>
      <c r="CM337"/>
      <c r="CN337" t="s">
        <v>8</v>
      </c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 t="s">
        <v>8</v>
      </c>
      <c r="DC337"/>
      <c r="DD337"/>
      <c r="DE337"/>
      <c r="DF337"/>
      <c r="DG337"/>
      <c r="DH337"/>
      <c r="DI337"/>
      <c r="DJ337"/>
      <c r="DK337"/>
      <c r="DL337"/>
      <c r="DM337"/>
      <c r="DN337"/>
      <c r="DO337"/>
    </row>
    <row r="338" spans="1:119" s="4" customFormat="1">
      <c r="A338" s="6" t="str">
        <f>HYPERLINK(".\links\pep\TI-158-pep.txt","TI-158")</f>
        <v>TI-158</v>
      </c>
      <c r="B338" s="6">
        <v>158</v>
      </c>
      <c r="C338" s="6" t="s">
        <v>7</v>
      </c>
      <c r="D338" s="6">
        <v>47</v>
      </c>
      <c r="E338" s="6">
        <v>0</v>
      </c>
      <c r="F338" s="6" t="str">
        <f>HYPERLINK(".\links\cds\TI-158-cds.txt","TI-158")</f>
        <v>TI-158</v>
      </c>
      <c r="G338" s="6">
        <v>139</v>
      </c>
      <c r="H338" s="6"/>
      <c r="I338" s="6" t="s">
        <v>29</v>
      </c>
      <c r="J338" s="6" t="s">
        <v>8</v>
      </c>
      <c r="K338" s="6">
        <v>1</v>
      </c>
      <c r="L338" s="6">
        <v>0</v>
      </c>
      <c r="M338" s="6">
        <f t="shared" si="6"/>
        <v>1</v>
      </c>
      <c r="N338" s="6" t="s">
        <v>1170</v>
      </c>
      <c r="O338" s="6" t="s">
        <v>1171</v>
      </c>
      <c r="P338" s="6"/>
      <c r="Q338" s="6"/>
      <c r="R338" s="6"/>
      <c r="S338" s="6" t="str">
        <f>HYPERLINK(".\links\NR-LIGHT\TI-158-NR-LIGHT.txt","similar to adducin")</f>
        <v>similar to adducin</v>
      </c>
      <c r="T338" s="6" t="str">
        <f>HYPERLINK("http://www.ncbi.nlm.nih.gov/sutils/blink.cgi?pid=189234212","1E-005")</f>
        <v>1E-005</v>
      </c>
      <c r="U338" s="6" t="str">
        <f>HYPERLINK("http://www.ncbi.nlm.nih.gov/protein/189234212","gi|189234212")</f>
        <v>gi|189234212</v>
      </c>
      <c r="V338" s="6">
        <v>50.8</v>
      </c>
      <c r="W338" s="6">
        <v>38</v>
      </c>
      <c r="X338" s="6">
        <v>736</v>
      </c>
      <c r="Y338" s="6">
        <v>56</v>
      </c>
      <c r="Z338" s="6">
        <v>5</v>
      </c>
      <c r="AA338" s="6">
        <v>17</v>
      </c>
      <c r="AB338" s="6">
        <v>0</v>
      </c>
      <c r="AC338" s="6">
        <v>1</v>
      </c>
      <c r="AD338" s="6">
        <v>1</v>
      </c>
      <c r="AE338" s="6">
        <v>1</v>
      </c>
      <c r="AF338" s="6"/>
      <c r="AG338" s="6" t="s">
        <v>13</v>
      </c>
      <c r="AH338" s="6" t="s">
        <v>51</v>
      </c>
      <c r="AI338" s="6" t="s">
        <v>266</v>
      </c>
      <c r="AJ338" s="6" t="s">
        <v>8</v>
      </c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 t="str">
        <f>HYPERLINK(".\links\PREV-RHOD-PEP\TI-158-PREV-RHOD-PEP.txt","Contig17403_16")</f>
        <v>Contig17403_16</v>
      </c>
      <c r="AY338" s="8">
        <v>2.0000000000000002E-15</v>
      </c>
      <c r="AZ338" s="6" t="s">
        <v>1064</v>
      </c>
      <c r="BA338" s="6">
        <v>77.400000000000006</v>
      </c>
      <c r="BB338" s="6">
        <v>38</v>
      </c>
      <c r="BC338" s="6">
        <v>1686</v>
      </c>
      <c r="BD338" s="6">
        <v>92</v>
      </c>
      <c r="BE338" s="6">
        <v>2</v>
      </c>
      <c r="BF338" s="6">
        <v>3</v>
      </c>
      <c r="BG338" s="6">
        <v>0</v>
      </c>
      <c r="BH338" s="6">
        <v>1</v>
      </c>
      <c r="BI338" s="6">
        <v>1</v>
      </c>
      <c r="BJ338" s="6">
        <v>1</v>
      </c>
      <c r="BK338" s="6" t="s">
        <v>651</v>
      </c>
      <c r="BL338" s="6">
        <f>HYPERLINK(".\links\GO\TI-158-GO.txt",0.003)</f>
        <v>3.0000000000000001E-3</v>
      </c>
      <c r="BM338" s="6" t="s">
        <v>652</v>
      </c>
      <c r="BN338" s="6" t="s">
        <v>340</v>
      </c>
      <c r="BO338" s="6" t="s">
        <v>341</v>
      </c>
      <c r="BP338" s="6" t="s">
        <v>653</v>
      </c>
      <c r="BQ338" s="6">
        <v>3.0000000000000001E-3</v>
      </c>
      <c r="BR338" s="6" t="s">
        <v>654</v>
      </c>
      <c r="BS338" s="6" t="s">
        <v>323</v>
      </c>
      <c r="BT338" s="6" t="s">
        <v>334</v>
      </c>
      <c r="BU338" s="6" t="s">
        <v>655</v>
      </c>
      <c r="BV338" s="6">
        <v>3.0000000000000001E-3</v>
      </c>
      <c r="BW338" s="6" t="s">
        <v>656</v>
      </c>
      <c r="BX338" s="6" t="s">
        <v>340</v>
      </c>
      <c r="BY338" s="6" t="s">
        <v>341</v>
      </c>
      <c r="BZ338" s="6" t="s">
        <v>657</v>
      </c>
      <c r="CA338" s="6">
        <v>3.0000000000000001E-3</v>
      </c>
      <c r="CB338" s="6" t="s">
        <v>8</v>
      </c>
      <c r="CC338" s="6"/>
      <c r="CD338" s="6"/>
      <c r="CE338" s="6" t="s">
        <v>8</v>
      </c>
      <c r="CF338" s="6"/>
      <c r="CG338" s="6"/>
      <c r="CH338" s="6" t="s">
        <v>8</v>
      </c>
      <c r="CI338" s="6"/>
      <c r="CJ338" s="6" t="s">
        <v>8</v>
      </c>
      <c r="CK338" s="6"/>
      <c r="CL338" s="6" t="s">
        <v>8</v>
      </c>
      <c r="CM338" s="6"/>
      <c r="CN338" s="6" t="s">
        <v>8</v>
      </c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 t="s">
        <v>8</v>
      </c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</row>
    <row r="339" spans="1:119" s="4" customFormat="1">
      <c r="A339" t="str">
        <f>HYPERLINK(".\links\pep\TI-153-pep.txt","TI-153")</f>
        <v>TI-153</v>
      </c>
      <c r="B339">
        <v>153</v>
      </c>
      <c r="C339" t="s">
        <v>7</v>
      </c>
      <c r="D339">
        <v>262</v>
      </c>
      <c r="E339" s="2">
        <v>4.5801530000000001</v>
      </c>
      <c r="F339" t="str">
        <f>HYPERLINK(".\links\cds\TI-153-cds.txt","TI-153")</f>
        <v>TI-153</v>
      </c>
      <c r="G339">
        <v>784</v>
      </c>
      <c r="H339" t="s">
        <v>24</v>
      </c>
      <c r="I339" t="s">
        <v>29</v>
      </c>
      <c r="J339" t="s">
        <v>8</v>
      </c>
      <c r="K339">
        <v>1</v>
      </c>
      <c r="L339">
        <v>0</v>
      </c>
      <c r="M339">
        <f t="shared" si="6"/>
        <v>1</v>
      </c>
      <c r="N339" t="s">
        <v>1282</v>
      </c>
      <c r="O339" t="s">
        <v>1172</v>
      </c>
      <c r="P339" t="str">
        <f>HYPERLINK(".\links\NR-LIGHT\TI-153-NR-LIGHT.txt","NR-LIGHT")</f>
        <v>NR-LIGHT</v>
      </c>
      <c r="Q339" s="3">
        <v>9.0000000000000008E-34</v>
      </c>
      <c r="R339">
        <v>70.099999999999994</v>
      </c>
      <c r="S339" t="str">
        <f>HYPERLINK(".\links\NR-LIGHT\TI-153-NR-LIGHT.txt","Aquaporin AQPAe.a, putative")</f>
        <v>Aquaporin AQPAe.a, putative</v>
      </c>
      <c r="T339" t="str">
        <f>HYPERLINK("http://www.ncbi.nlm.nih.gov/sutils/blink.cgi?pid=242009228","9E-034")</f>
        <v>9E-034</v>
      </c>
      <c r="U339" t="str">
        <f>HYPERLINK("http://www.ncbi.nlm.nih.gov/protein/242009228","gi|242009228")</f>
        <v>gi|242009228</v>
      </c>
      <c r="V339">
        <v>145</v>
      </c>
      <c r="W339">
        <v>196</v>
      </c>
      <c r="X339">
        <v>281</v>
      </c>
      <c r="Y339">
        <v>41</v>
      </c>
      <c r="Z339">
        <v>70</v>
      </c>
      <c r="AA339">
        <v>115</v>
      </c>
      <c r="AB339">
        <v>1</v>
      </c>
      <c r="AC339">
        <v>41</v>
      </c>
      <c r="AD339">
        <v>6</v>
      </c>
      <c r="AE339">
        <v>1</v>
      </c>
      <c r="AF339"/>
      <c r="AG339" t="s">
        <v>13</v>
      </c>
      <c r="AH339" t="s">
        <v>51</v>
      </c>
      <c r="AI339" t="s">
        <v>268</v>
      </c>
      <c r="AJ339" t="str">
        <f>HYPERLINK(".\links\SWISSP\TI-153-SWISSP.txt","Aquaporin AQPAe.a OS=Aedes aegypti GN=AAEL003512 PE=2 SV=2")</f>
        <v>Aquaporin AQPAe.a OS=Aedes aegypti GN=AAEL003512 PE=2 SV=2</v>
      </c>
      <c r="AK339" t="str">
        <f>HYPERLINK("http://www.uniprot.org/uniprot/Q9NHW7","5E-033")</f>
        <v>5E-033</v>
      </c>
      <c r="AL339" t="s">
        <v>81</v>
      </c>
      <c r="AM339">
        <v>141</v>
      </c>
      <c r="AN339">
        <v>206</v>
      </c>
      <c r="AO339">
        <v>249</v>
      </c>
      <c r="AP339">
        <v>38</v>
      </c>
      <c r="AQ339">
        <v>83</v>
      </c>
      <c r="AR339">
        <v>127</v>
      </c>
      <c r="AS339">
        <v>1</v>
      </c>
      <c r="AT339">
        <v>6</v>
      </c>
      <c r="AU339">
        <v>2</v>
      </c>
      <c r="AV339">
        <v>1</v>
      </c>
      <c r="AW339" t="s">
        <v>76</v>
      </c>
      <c r="AX339" t="str">
        <f>HYPERLINK(".\links\PREV-RHOD-PEP\TI-153-PREV-RHOD-PEP.txt","Contig16870_3")</f>
        <v>Contig16870_3</v>
      </c>
      <c r="AY339" s="3">
        <v>5E-79</v>
      </c>
      <c r="AZ339" t="s">
        <v>1005</v>
      </c>
      <c r="BA339">
        <v>290</v>
      </c>
      <c r="BB339">
        <v>202</v>
      </c>
      <c r="BC339">
        <v>245</v>
      </c>
      <c r="BD339">
        <v>75</v>
      </c>
      <c r="BE339">
        <v>83</v>
      </c>
      <c r="BF339">
        <v>49</v>
      </c>
      <c r="BG339">
        <v>0</v>
      </c>
      <c r="BH339">
        <v>4</v>
      </c>
      <c r="BI339">
        <v>2</v>
      </c>
      <c r="BJ339">
        <v>1</v>
      </c>
      <c r="BK339" t="s">
        <v>420</v>
      </c>
      <c r="BL339">
        <f>HYPERLINK(".\links\GO\TI-153-GO.txt",4E-26)</f>
        <v>4.0000000000000002E-26</v>
      </c>
      <c r="BM339" t="s">
        <v>421</v>
      </c>
      <c r="BN339" t="s">
        <v>319</v>
      </c>
      <c r="BO339" t="s">
        <v>422</v>
      </c>
      <c r="BP339" t="s">
        <v>423</v>
      </c>
      <c r="BQ339" s="3">
        <v>4.0000000000000002E-26</v>
      </c>
      <c r="BR339" t="s">
        <v>424</v>
      </c>
      <c r="BS339" t="s">
        <v>323</v>
      </c>
      <c r="BT339" t="s">
        <v>390</v>
      </c>
      <c r="BU339" t="s">
        <v>425</v>
      </c>
      <c r="BV339" s="3">
        <v>4.0000000000000002E-26</v>
      </c>
      <c r="BW339" t="s">
        <v>426</v>
      </c>
      <c r="BX339" t="s">
        <v>319</v>
      </c>
      <c r="BY339" t="s">
        <v>422</v>
      </c>
      <c r="BZ339" t="s">
        <v>427</v>
      </c>
      <c r="CA339" s="3">
        <v>4.0000000000000002E-26</v>
      </c>
      <c r="CB339" t="s">
        <v>8</v>
      </c>
      <c r="CC339"/>
      <c r="CD339"/>
      <c r="CE339" t="s">
        <v>8</v>
      </c>
      <c r="CF339"/>
      <c r="CG339"/>
      <c r="CH339" t="s">
        <v>8</v>
      </c>
      <c r="CI339"/>
      <c r="CJ339" t="s">
        <v>8</v>
      </c>
      <c r="CK339"/>
      <c r="CL339" t="s">
        <v>8</v>
      </c>
      <c r="CM339"/>
      <c r="CN339" t="s">
        <v>8</v>
      </c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 t="s">
        <v>8</v>
      </c>
      <c r="DC339"/>
      <c r="DD339"/>
      <c r="DE339"/>
      <c r="DF339"/>
      <c r="DG339"/>
      <c r="DH339"/>
      <c r="DI339"/>
      <c r="DJ339"/>
      <c r="DK339"/>
      <c r="DL339"/>
      <c r="DM339"/>
      <c r="DN339"/>
      <c r="DO339"/>
    </row>
    <row r="340" spans="1:119" s="4" customFormat="1">
      <c r="A340" s="6" t="str">
        <f>HYPERLINK(".\links\pep\TI-15-pep.txt","TI-15")</f>
        <v>TI-15</v>
      </c>
      <c r="B340" s="6">
        <v>15</v>
      </c>
      <c r="C340" s="6" t="s">
        <v>17</v>
      </c>
      <c r="D340" s="6">
        <v>19</v>
      </c>
      <c r="E340" s="6">
        <v>0</v>
      </c>
      <c r="F340" s="6" t="str">
        <f>HYPERLINK(".\links\cds\TI-15-cds.txt","TI-15")</f>
        <v>TI-15</v>
      </c>
      <c r="G340" s="6">
        <v>60</v>
      </c>
      <c r="H340" s="6"/>
      <c r="I340" s="6" t="s">
        <v>8</v>
      </c>
      <c r="J340" s="6" t="s">
        <v>6</v>
      </c>
      <c r="K340" s="6">
        <v>1</v>
      </c>
      <c r="L340" s="6">
        <v>0</v>
      </c>
      <c r="M340" s="6">
        <f t="shared" si="6"/>
        <v>1</v>
      </c>
      <c r="N340" s="6" t="s">
        <v>1170</v>
      </c>
      <c r="O340" s="6" t="s">
        <v>1171</v>
      </c>
      <c r="P340" s="6"/>
      <c r="Q340" s="6"/>
      <c r="R340" s="6"/>
      <c r="S340" s="6" t="s">
        <v>8</v>
      </c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 t="s">
        <v>8</v>
      </c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 t="s">
        <v>8</v>
      </c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 t="s">
        <v>8</v>
      </c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 t="s">
        <v>8</v>
      </c>
      <c r="CC340" s="6"/>
      <c r="CD340" s="6"/>
      <c r="CE340" s="6" t="s">
        <v>8</v>
      </c>
      <c r="CF340" s="6"/>
      <c r="CG340" s="6"/>
      <c r="CH340" s="6" t="s">
        <v>8</v>
      </c>
      <c r="CI340" s="6"/>
      <c r="CJ340" s="6" t="s">
        <v>8</v>
      </c>
      <c r="CK340" s="6"/>
      <c r="CL340" s="6" t="s">
        <v>8</v>
      </c>
      <c r="CM340" s="6"/>
      <c r="CN340" s="6" t="s">
        <v>8</v>
      </c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 t="s">
        <v>8</v>
      </c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</row>
    <row r="341" spans="1:119" s="4" customFormat="1">
      <c r="A341" s="6" t="str">
        <f>HYPERLINK(".\links\pep\TI-146-pep.txt","TI-146")</f>
        <v>TI-146</v>
      </c>
      <c r="B341" s="6">
        <v>146</v>
      </c>
      <c r="C341" s="6" t="s">
        <v>23</v>
      </c>
      <c r="D341" s="6">
        <v>163</v>
      </c>
      <c r="E341" s="6">
        <v>0</v>
      </c>
      <c r="F341" s="6" t="str">
        <f>HYPERLINK(".\links\cds\TI-146-cds.txt","TI-146")</f>
        <v>TI-146</v>
      </c>
      <c r="G341" s="6">
        <v>492</v>
      </c>
      <c r="H341" s="6"/>
      <c r="I341" s="6" t="s">
        <v>8</v>
      </c>
      <c r="J341" s="6" t="s">
        <v>6</v>
      </c>
      <c r="K341" s="6">
        <v>1</v>
      </c>
      <c r="L341" s="6">
        <v>0</v>
      </c>
      <c r="M341" s="6">
        <f t="shared" si="6"/>
        <v>1</v>
      </c>
      <c r="N341" s="6" t="s">
        <v>1170</v>
      </c>
      <c r="O341" s="6" t="s">
        <v>1171</v>
      </c>
      <c r="P341" s="6"/>
      <c r="Q341" s="6"/>
      <c r="R341" s="6"/>
      <c r="S341" s="6" t="str">
        <f>HYPERLINK(".\links\NR-LIGHT\TI-146-NR-LIGHT.txt","RE46519p")</f>
        <v>RE46519p</v>
      </c>
      <c r="T341" s="6" t="str">
        <f>HYPERLINK("http://www.ncbi.nlm.nih.gov/sutils/blink.cgi?pid=39752609","0.003")</f>
        <v>0.003</v>
      </c>
      <c r="U341" s="6" t="str">
        <f>HYPERLINK("http://www.ncbi.nlm.nih.gov/protein/39752609","gi|39752609")</f>
        <v>gi|39752609</v>
      </c>
      <c r="V341" s="6">
        <v>43.1</v>
      </c>
      <c r="W341" s="6">
        <v>468</v>
      </c>
      <c r="X341" s="6">
        <v>645</v>
      </c>
      <c r="Y341" s="6">
        <v>27</v>
      </c>
      <c r="Z341" s="6">
        <v>73</v>
      </c>
      <c r="AA341" s="6">
        <v>102</v>
      </c>
      <c r="AB341" s="6">
        <v>32</v>
      </c>
      <c r="AC341" s="6">
        <v>29</v>
      </c>
      <c r="AD341" s="6">
        <v>16</v>
      </c>
      <c r="AE341" s="6">
        <v>6</v>
      </c>
      <c r="AF341" s="6"/>
      <c r="AG341" s="6" t="s">
        <v>13</v>
      </c>
      <c r="AH341" s="6" t="s">
        <v>51</v>
      </c>
      <c r="AI341" s="6" t="s">
        <v>52</v>
      </c>
      <c r="AJ341" s="6" t="s">
        <v>8</v>
      </c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 t="str">
        <f>HYPERLINK(".\links\PREV-RHOD-PEP\TI-146-PREV-RHOD-PEP.txt","Contig17812_34")</f>
        <v>Contig17812_34</v>
      </c>
      <c r="AY341" s="8">
        <v>8.9999999999999997E-45</v>
      </c>
      <c r="AZ341" s="6" t="s">
        <v>1062</v>
      </c>
      <c r="BA341" s="6">
        <v>175</v>
      </c>
      <c r="BB341" s="6">
        <v>268</v>
      </c>
      <c r="BC341" s="6">
        <v>321</v>
      </c>
      <c r="BD341" s="6">
        <v>58</v>
      </c>
      <c r="BE341" s="6">
        <v>84</v>
      </c>
      <c r="BF341" s="6">
        <v>60</v>
      </c>
      <c r="BG341" s="6">
        <v>0</v>
      </c>
      <c r="BH341" s="6">
        <v>18</v>
      </c>
      <c r="BI341" s="6">
        <v>16</v>
      </c>
      <c r="BJ341" s="6">
        <v>3</v>
      </c>
      <c r="BK341" s="6" t="s">
        <v>8</v>
      </c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 t="s">
        <v>8</v>
      </c>
      <c r="CC341" s="6"/>
      <c r="CD341" s="6"/>
      <c r="CE341" s="6" t="s">
        <v>8</v>
      </c>
      <c r="CF341" s="6"/>
      <c r="CG341" s="6"/>
      <c r="CH341" s="6" t="s">
        <v>8</v>
      </c>
      <c r="CI341" s="6"/>
      <c r="CJ341" s="6" t="s">
        <v>8</v>
      </c>
      <c r="CK341" s="6"/>
      <c r="CL341" s="6" t="s">
        <v>8</v>
      </c>
      <c r="CM341" s="6"/>
      <c r="CN341" s="6" t="s">
        <v>8</v>
      </c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 t="s">
        <v>8</v>
      </c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</row>
    <row r="342" spans="1:119" s="4" customFormat="1">
      <c r="A342" t="str">
        <f>HYPERLINK(".\links\pep\TI-145-pep.txt","TI-145")</f>
        <v>TI-145</v>
      </c>
      <c r="B342">
        <v>145</v>
      </c>
      <c r="C342" t="s">
        <v>7</v>
      </c>
      <c r="D342">
        <v>136</v>
      </c>
      <c r="E342">
        <v>0</v>
      </c>
      <c r="F342" t="str">
        <f>HYPERLINK(".\links\cds\TI-145-cds.txt","TI-145")</f>
        <v>TI-145</v>
      </c>
      <c r="G342">
        <v>411</v>
      </c>
      <c r="H342"/>
      <c r="I342" t="s">
        <v>29</v>
      </c>
      <c r="J342" t="s">
        <v>6</v>
      </c>
      <c r="K342">
        <v>3</v>
      </c>
      <c r="L342">
        <v>0</v>
      </c>
      <c r="M342">
        <f t="shared" si="6"/>
        <v>3</v>
      </c>
      <c r="N342" t="s">
        <v>1280</v>
      </c>
      <c r="O342" t="s">
        <v>1169</v>
      </c>
      <c r="P342" t="str">
        <f>HYPERLINK(".\links\NR-LIGHT\TI-145-NR-LIGHT.txt","NR-LIGHT")</f>
        <v>NR-LIGHT</v>
      </c>
      <c r="Q342" s="3">
        <v>2.9999999999999999E-56</v>
      </c>
      <c r="R342">
        <v>100.7</v>
      </c>
      <c r="S342" t="str">
        <f>HYPERLINK(".\links\NR-LIGHT\TI-145-NR-LIGHT.txt","ribosomal protein L27")</f>
        <v>ribosomal protein L27</v>
      </c>
      <c r="T342" t="str">
        <f>HYPERLINK("http://www.ncbi.nlm.nih.gov/sutils/blink.cgi?pid=187121184","3E-056")</f>
        <v>3E-056</v>
      </c>
      <c r="U342" t="str">
        <f>HYPERLINK("http://www.ncbi.nlm.nih.gov/protein/187121184","gi|187121184")</f>
        <v>gi|187121184</v>
      </c>
      <c r="V342">
        <v>219</v>
      </c>
      <c r="W342">
        <v>134</v>
      </c>
      <c r="X342">
        <v>135</v>
      </c>
      <c r="Y342">
        <v>77</v>
      </c>
      <c r="Z342">
        <v>100</v>
      </c>
      <c r="AA342">
        <v>31</v>
      </c>
      <c r="AB342">
        <v>1</v>
      </c>
      <c r="AC342">
        <v>1</v>
      </c>
      <c r="AD342">
        <v>1</v>
      </c>
      <c r="AE342">
        <v>1</v>
      </c>
      <c r="AF342"/>
      <c r="AG342" t="s">
        <v>13</v>
      </c>
      <c r="AH342" t="s">
        <v>51</v>
      </c>
      <c r="AI342" t="s">
        <v>264</v>
      </c>
      <c r="AJ342" t="str">
        <f>HYPERLINK(".\links\SWISSP\TI-145-SWISSP.txt","60S ribosomal protein L27 OS=Danio rerio GN=rpl27 PE=2 SV=3")</f>
        <v>60S ribosomal protein L27 OS=Danio rerio GN=rpl27 PE=2 SV=3</v>
      </c>
      <c r="AK342" t="str">
        <f>HYPERLINK("http://www.uniprot.org/uniprot/Q7ZV82","6E-043")</f>
        <v>6E-043</v>
      </c>
      <c r="AL342" t="s">
        <v>149</v>
      </c>
      <c r="AM342">
        <v>172</v>
      </c>
      <c r="AN342">
        <v>135</v>
      </c>
      <c r="AO342">
        <v>136</v>
      </c>
      <c r="AP342">
        <v>64</v>
      </c>
      <c r="AQ342">
        <v>100</v>
      </c>
      <c r="AR342">
        <v>48</v>
      </c>
      <c r="AS342">
        <v>2</v>
      </c>
      <c r="AT342">
        <v>1</v>
      </c>
      <c r="AU342">
        <v>1</v>
      </c>
      <c r="AV342">
        <v>1</v>
      </c>
      <c r="AW342" t="s">
        <v>85</v>
      </c>
      <c r="AX342" t="str">
        <f>HYPERLINK(".\links\PREV-RHOD-PEP\TI-145-PREV-RHOD-PEP.txt","Contig17146_15")</f>
        <v>Contig17146_15</v>
      </c>
      <c r="AY342" s="3">
        <v>9.9999999999999992E-66</v>
      </c>
      <c r="AZ342" t="s">
        <v>1061</v>
      </c>
      <c r="BA342">
        <v>244</v>
      </c>
      <c r="BB342">
        <v>125</v>
      </c>
      <c r="BC342">
        <v>405</v>
      </c>
      <c r="BD342">
        <v>95</v>
      </c>
      <c r="BE342">
        <v>31</v>
      </c>
      <c r="BF342">
        <v>6</v>
      </c>
      <c r="BG342">
        <v>0</v>
      </c>
      <c r="BH342">
        <v>1</v>
      </c>
      <c r="BI342">
        <v>1</v>
      </c>
      <c r="BJ342">
        <v>1</v>
      </c>
      <c r="BK342" t="s">
        <v>647</v>
      </c>
      <c r="BL342">
        <f>HYPERLINK(".\links\GO\TI-145-GO.txt",3E-43)</f>
        <v>3E-43</v>
      </c>
      <c r="BM342" t="s">
        <v>373</v>
      </c>
      <c r="BN342" t="s">
        <v>373</v>
      </c>
      <c r="BO342"/>
      <c r="BP342" t="s">
        <v>374</v>
      </c>
      <c r="BQ342" s="3">
        <v>3E-43</v>
      </c>
      <c r="BR342" t="s">
        <v>648</v>
      </c>
      <c r="BS342" t="s">
        <v>323</v>
      </c>
      <c r="BT342" t="s">
        <v>334</v>
      </c>
      <c r="BU342" t="s">
        <v>649</v>
      </c>
      <c r="BV342" s="3">
        <v>3E-43</v>
      </c>
      <c r="BW342" t="s">
        <v>380</v>
      </c>
      <c r="BX342" t="s">
        <v>373</v>
      </c>
      <c r="BY342"/>
      <c r="BZ342" t="s">
        <v>381</v>
      </c>
      <c r="CA342" s="3">
        <v>3E-43</v>
      </c>
      <c r="CB342" t="s">
        <v>8</v>
      </c>
      <c r="CC342"/>
      <c r="CD342"/>
      <c r="CE342" t="s">
        <v>8</v>
      </c>
      <c r="CF342"/>
      <c r="CG342"/>
      <c r="CH342" t="s">
        <v>8</v>
      </c>
      <c r="CI342"/>
      <c r="CJ342" t="s">
        <v>8</v>
      </c>
      <c r="CK342"/>
      <c r="CL342" t="s">
        <v>8</v>
      </c>
      <c r="CM342"/>
      <c r="CN342" t="s">
        <v>8</v>
      </c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 t="s">
        <v>8</v>
      </c>
      <c r="DC342"/>
      <c r="DD342"/>
      <c r="DE342"/>
      <c r="DF342"/>
      <c r="DG342"/>
      <c r="DH342"/>
      <c r="DI342"/>
      <c r="DJ342"/>
      <c r="DK342"/>
      <c r="DL342"/>
      <c r="DM342"/>
      <c r="DN342"/>
      <c r="DO342"/>
    </row>
    <row r="343" spans="1:119" s="4" customFormat="1">
      <c r="A343" t="str">
        <f>HYPERLINK(".\links\pep\TI-141-pep.txt","TI-141")</f>
        <v>TI-141</v>
      </c>
      <c r="B343">
        <v>141</v>
      </c>
      <c r="C343" t="s">
        <v>11</v>
      </c>
      <c r="D343">
        <v>71</v>
      </c>
      <c r="E343">
        <v>0</v>
      </c>
      <c r="F343" t="str">
        <f>HYPERLINK(".\links\cds\TI-141-cds.txt","TI-141")</f>
        <v>TI-141</v>
      </c>
      <c r="G343">
        <v>212</v>
      </c>
      <c r="H343"/>
      <c r="I343" t="s">
        <v>8</v>
      </c>
      <c r="J343" t="s">
        <v>8</v>
      </c>
      <c r="K343">
        <v>1</v>
      </c>
      <c r="L343">
        <v>0</v>
      </c>
      <c r="M343">
        <f t="shared" si="6"/>
        <v>1</v>
      </c>
      <c r="N343" t="s">
        <v>1279</v>
      </c>
      <c r="O343" t="s">
        <v>1178</v>
      </c>
      <c r="P343" t="str">
        <f>HYPERLINK(".\links\NR-LIGHT\TI-141-NR-LIGHT.txt","NR-LIGHT")</f>
        <v>NR-LIGHT</v>
      </c>
      <c r="Q343">
        <v>6E-11</v>
      </c>
      <c r="R343">
        <v>10.5</v>
      </c>
      <c r="S343" t="str">
        <f>HYPERLINK(".\links\NR-LIGHT\TI-141-NR-LIGHT.txt","scavenger mRNA decapping enzyme DcpS, putative")</f>
        <v>scavenger mRNA decapping enzyme DcpS, putative</v>
      </c>
      <c r="T343" t="str">
        <f>HYPERLINK("http://www.ncbi.nlm.nih.gov/sutils/blink.cgi?pid=242019462","6E-011")</f>
        <v>6E-011</v>
      </c>
      <c r="U343" t="str">
        <f>HYPERLINK("http://www.ncbi.nlm.nih.gov/protein/242019462","gi|242019462")</f>
        <v>gi|242019462</v>
      </c>
      <c r="V343">
        <v>68.599999999999994</v>
      </c>
      <c r="W343">
        <v>58</v>
      </c>
      <c r="X343">
        <v>560</v>
      </c>
      <c r="Y343">
        <v>52</v>
      </c>
      <c r="Z343">
        <v>11</v>
      </c>
      <c r="AA343">
        <v>28</v>
      </c>
      <c r="AB343">
        <v>0</v>
      </c>
      <c r="AC343">
        <v>74</v>
      </c>
      <c r="AD343">
        <v>4</v>
      </c>
      <c r="AE343">
        <v>1</v>
      </c>
      <c r="AF343"/>
      <c r="AG343" t="s">
        <v>13</v>
      </c>
      <c r="AH343" t="s">
        <v>51</v>
      </c>
      <c r="AI343" t="s">
        <v>268</v>
      </c>
      <c r="AJ343" t="str">
        <f>HYPERLINK(".\links\SWISSP\TI-141-SWISSP.txt","Scavenger mRNA-decapping enzyme DcpS OS=Saccharomyces cerevisiae (strain ATCC")</f>
        <v>Scavenger mRNA-decapping enzyme DcpS OS=Saccharomyces cerevisiae (strain ATCC</v>
      </c>
      <c r="AK343" t="str">
        <f>HYPERLINK("http://www.uniprot.org/uniprot/Q06151","2E-006")</f>
        <v>2E-006</v>
      </c>
      <c r="AL343" t="s">
        <v>147</v>
      </c>
      <c r="AM343">
        <v>51.2</v>
      </c>
      <c r="AN343">
        <v>41</v>
      </c>
      <c r="AO343">
        <v>350</v>
      </c>
      <c r="AP343">
        <v>47</v>
      </c>
      <c r="AQ343">
        <v>12</v>
      </c>
      <c r="AR343">
        <v>22</v>
      </c>
      <c r="AS343">
        <v>0</v>
      </c>
      <c r="AT343">
        <v>109</v>
      </c>
      <c r="AU343">
        <v>7</v>
      </c>
      <c r="AV343">
        <v>1</v>
      </c>
      <c r="AW343" t="s">
        <v>148</v>
      </c>
      <c r="AX343" t="str">
        <f>HYPERLINK(".\links\PREV-RHOD-PEP\TI-141-PREV-RHOD-PEP.txt","Contig17819_68")</f>
        <v>Contig17819_68</v>
      </c>
      <c r="AY343" s="3">
        <v>3.0000000000000003E-20</v>
      </c>
      <c r="AZ343" t="s">
        <v>1060</v>
      </c>
      <c r="BA343">
        <v>93.2</v>
      </c>
      <c r="BB343">
        <v>54</v>
      </c>
      <c r="BC343">
        <v>730</v>
      </c>
      <c r="BD343">
        <v>81</v>
      </c>
      <c r="BE343">
        <v>8</v>
      </c>
      <c r="BF343">
        <v>10</v>
      </c>
      <c r="BG343">
        <v>0</v>
      </c>
      <c r="BH343">
        <v>134</v>
      </c>
      <c r="BI343">
        <v>8</v>
      </c>
      <c r="BJ343">
        <v>1</v>
      </c>
      <c r="BK343" t="s">
        <v>640</v>
      </c>
      <c r="BL343">
        <f>HYPERLINK(".\links\GO\TI-141-GO.txt",0.0000004)</f>
        <v>3.9999999999999998E-7</v>
      </c>
      <c r="BM343" t="s">
        <v>641</v>
      </c>
      <c r="BN343" t="s">
        <v>345</v>
      </c>
      <c r="BO343" t="s">
        <v>349</v>
      </c>
      <c r="BP343" t="s">
        <v>642</v>
      </c>
      <c r="BQ343">
        <v>3.9999999999999998E-7</v>
      </c>
      <c r="BR343" t="s">
        <v>643</v>
      </c>
      <c r="BS343" t="s">
        <v>323</v>
      </c>
      <c r="BT343" t="s">
        <v>334</v>
      </c>
      <c r="BU343" t="s">
        <v>644</v>
      </c>
      <c r="BV343">
        <v>3.9999999999999998E-7</v>
      </c>
      <c r="BW343" t="s">
        <v>645</v>
      </c>
      <c r="BX343" t="s">
        <v>345</v>
      </c>
      <c r="BY343" t="s">
        <v>349</v>
      </c>
      <c r="BZ343" t="s">
        <v>646</v>
      </c>
      <c r="CA343">
        <v>3.9999999999999998E-7</v>
      </c>
      <c r="CB343" t="s">
        <v>8</v>
      </c>
      <c r="CC343"/>
      <c r="CD343"/>
      <c r="CE343" t="s">
        <v>8</v>
      </c>
      <c r="CF343"/>
      <c r="CG343"/>
      <c r="CH343" t="s">
        <v>8</v>
      </c>
      <c r="CI343"/>
      <c r="CJ343" t="s">
        <v>8</v>
      </c>
      <c r="CK343"/>
      <c r="CL343" t="s">
        <v>8</v>
      </c>
      <c r="CM343"/>
      <c r="CN343" t="s">
        <v>8</v>
      </c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 t="s">
        <v>8</v>
      </c>
      <c r="DC343"/>
      <c r="DD343"/>
      <c r="DE343"/>
      <c r="DF343"/>
      <c r="DG343"/>
      <c r="DH343"/>
      <c r="DI343"/>
      <c r="DJ343"/>
      <c r="DK343"/>
      <c r="DL343"/>
      <c r="DM343"/>
      <c r="DN343"/>
      <c r="DO343"/>
    </row>
    <row r="344" spans="1:119" s="4" customFormat="1">
      <c r="A344" t="str">
        <f>HYPERLINK(".\links\pep\TI-14-pep.txt","TI-14")</f>
        <v>TI-14</v>
      </c>
      <c r="B344">
        <v>14</v>
      </c>
      <c r="C344" t="s">
        <v>11</v>
      </c>
      <c r="D344">
        <v>203</v>
      </c>
      <c r="E344">
        <v>0</v>
      </c>
      <c r="F344" t="str">
        <f>HYPERLINK(".\links\cds\TI-14-cds.txt","TI-14")</f>
        <v>TI-14</v>
      </c>
      <c r="G344">
        <v>612</v>
      </c>
      <c r="H344"/>
      <c r="I344" t="s">
        <v>8</v>
      </c>
      <c r="J344" t="s">
        <v>6</v>
      </c>
      <c r="K344">
        <v>2</v>
      </c>
      <c r="L344">
        <v>0</v>
      </c>
      <c r="M344">
        <f t="shared" si="6"/>
        <v>2</v>
      </c>
      <c r="N344" t="s">
        <v>1252</v>
      </c>
      <c r="O344" t="s">
        <v>1176</v>
      </c>
      <c r="P344" t="str">
        <f>HYPERLINK(".\links\NR-LIGHT\TI-14-NR-LIGHT.txt","NR-LIGHT")</f>
        <v>NR-LIGHT</v>
      </c>
      <c r="Q344" s="3">
        <v>2.0000000000000001E-33</v>
      </c>
      <c r="R344">
        <v>34.299999999999997</v>
      </c>
      <c r="S344" t="str">
        <f>HYPERLINK(".\links\NR-LIGHT\TI-14-NR-LIGHT.txt","ACYPI000002")</f>
        <v>ACYPI000002</v>
      </c>
      <c r="T344" t="str">
        <f>HYPERLINK("http://www.ncbi.nlm.nih.gov/sutils/blink.cgi?pid=239791724","1E-034")</f>
        <v>1E-034</v>
      </c>
      <c r="U344" t="str">
        <f>HYPERLINK("http://www.ncbi.nlm.nih.gov/protein/239791724","gi|239791724")</f>
        <v>gi|239791724</v>
      </c>
      <c r="V344">
        <v>148</v>
      </c>
      <c r="W344">
        <v>193</v>
      </c>
      <c r="X344">
        <v>304</v>
      </c>
      <c r="Y344">
        <v>40</v>
      </c>
      <c r="Z344">
        <v>64</v>
      </c>
      <c r="AA344">
        <v>119</v>
      </c>
      <c r="AB344">
        <v>6</v>
      </c>
      <c r="AC344">
        <v>107</v>
      </c>
      <c r="AD344">
        <v>3</v>
      </c>
      <c r="AE344">
        <v>1</v>
      </c>
      <c r="AF344"/>
      <c r="AG344" t="s">
        <v>13</v>
      </c>
      <c r="AH344" t="s">
        <v>51</v>
      </c>
      <c r="AI344" t="s">
        <v>264</v>
      </c>
      <c r="AJ344" t="str">
        <f>HYPERLINK(".\links\SWISSP\TI-14-SWISSP.txt","Probable maltase L OS=Drosophila melanogaster GN=LvpL PE=2 SV=2")</f>
        <v>Probable maltase L OS=Drosophila melanogaster GN=LvpL PE=2 SV=2</v>
      </c>
      <c r="AK344" t="str">
        <f>HYPERLINK("http://www.uniprot.org/uniprot/P07192","4E-025")</f>
        <v>4E-025</v>
      </c>
      <c r="AL344" t="s">
        <v>114</v>
      </c>
      <c r="AM344">
        <v>114</v>
      </c>
      <c r="AN344">
        <v>193</v>
      </c>
      <c r="AO344">
        <v>574</v>
      </c>
      <c r="AP344">
        <v>34</v>
      </c>
      <c r="AQ344">
        <v>34</v>
      </c>
      <c r="AR344">
        <v>131</v>
      </c>
      <c r="AS344">
        <v>5</v>
      </c>
      <c r="AT344">
        <v>380</v>
      </c>
      <c r="AU344">
        <v>1</v>
      </c>
      <c r="AV344">
        <v>1</v>
      </c>
      <c r="AW344" t="s">
        <v>52</v>
      </c>
      <c r="AX344" t="str">
        <f>HYPERLINK(".\links\PREV-RHOD-PEP\TI-14-PREV-RHOD-PEP.txt","Contig17590_30")</f>
        <v>Contig17590_30</v>
      </c>
      <c r="AY344" s="3">
        <v>4.9999999999999995E-22</v>
      </c>
      <c r="AZ344" t="s">
        <v>1029</v>
      </c>
      <c r="BA344">
        <v>100</v>
      </c>
      <c r="BB344">
        <v>69</v>
      </c>
      <c r="BC344">
        <v>599</v>
      </c>
      <c r="BD344">
        <v>70</v>
      </c>
      <c r="BE344">
        <v>12</v>
      </c>
      <c r="BF344">
        <v>21</v>
      </c>
      <c r="BG344">
        <v>1</v>
      </c>
      <c r="BH344">
        <v>528</v>
      </c>
      <c r="BI344">
        <v>130</v>
      </c>
      <c r="BJ344">
        <v>1</v>
      </c>
      <c r="BK344" t="s">
        <v>536</v>
      </c>
      <c r="BL344">
        <f>HYPERLINK(".\links\GO\TI-14-GO.txt",3E-27)</f>
        <v>3.0000000000000001E-27</v>
      </c>
      <c r="BM344" t="s">
        <v>405</v>
      </c>
      <c r="BN344" t="s">
        <v>340</v>
      </c>
      <c r="BO344" t="s">
        <v>341</v>
      </c>
      <c r="BP344" t="s">
        <v>406</v>
      </c>
      <c r="BQ344">
        <v>7.9999999999999995E-11</v>
      </c>
      <c r="BR344" t="s">
        <v>407</v>
      </c>
      <c r="BS344" t="s">
        <v>323</v>
      </c>
      <c r="BT344" t="s">
        <v>334</v>
      </c>
      <c r="BU344" t="s">
        <v>408</v>
      </c>
      <c r="BV344">
        <v>7.9999999999999995E-11</v>
      </c>
      <c r="BW344" t="s">
        <v>409</v>
      </c>
      <c r="BX344" t="s">
        <v>340</v>
      </c>
      <c r="BY344" t="s">
        <v>341</v>
      </c>
      <c r="BZ344" t="s">
        <v>410</v>
      </c>
      <c r="CA344">
        <v>7.9999999999999995E-11</v>
      </c>
      <c r="CB344" t="s">
        <v>8</v>
      </c>
      <c r="CC344"/>
      <c r="CD344"/>
      <c r="CE344" t="s">
        <v>8</v>
      </c>
      <c r="CF344"/>
      <c r="CG344"/>
      <c r="CH344" t="s">
        <v>8</v>
      </c>
      <c r="CI344"/>
      <c r="CJ344" t="s">
        <v>8</v>
      </c>
      <c r="CK344"/>
      <c r="CL344" t="s">
        <v>8</v>
      </c>
      <c r="CM344"/>
      <c r="CN344" t="s">
        <v>8</v>
      </c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 t="s">
        <v>8</v>
      </c>
      <c r="DC344"/>
      <c r="DD344"/>
      <c r="DE344"/>
      <c r="DF344"/>
      <c r="DG344"/>
      <c r="DH344"/>
      <c r="DI344"/>
      <c r="DJ344"/>
      <c r="DK344"/>
      <c r="DL344"/>
      <c r="DM344"/>
      <c r="DN344"/>
      <c r="DO344"/>
    </row>
    <row r="345" spans="1:119" s="4" customFormat="1">
      <c r="A345" t="str">
        <f>HYPERLINK(".\links\pep\TI-139-pep.txt","TI-139")</f>
        <v>TI-139</v>
      </c>
      <c r="B345">
        <v>139</v>
      </c>
      <c r="C345" t="s">
        <v>7</v>
      </c>
      <c r="D345">
        <v>233</v>
      </c>
      <c r="E345">
        <v>0</v>
      </c>
      <c r="F345" t="str">
        <f>HYPERLINK(".\links\cds\TI-139-cds.txt","TI-139")</f>
        <v>TI-139</v>
      </c>
      <c r="G345">
        <v>698</v>
      </c>
      <c r="H345"/>
      <c r="I345" t="s">
        <v>29</v>
      </c>
      <c r="J345" t="s">
        <v>6</v>
      </c>
      <c r="K345">
        <v>1</v>
      </c>
      <c r="L345">
        <v>0</v>
      </c>
      <c r="M345">
        <f t="shared" si="6"/>
        <v>1</v>
      </c>
      <c r="N345" t="s">
        <v>1278</v>
      </c>
      <c r="O345" t="s">
        <v>1169</v>
      </c>
      <c r="P345" t="str">
        <f>HYPERLINK(".\links\NR-LIGHT\TI-139-NR-LIGHT.txt","NR-LIGHT")</f>
        <v>NR-LIGHT</v>
      </c>
      <c r="Q345" s="3">
        <v>1E-91</v>
      </c>
      <c r="R345">
        <v>72</v>
      </c>
      <c r="S345" t="str">
        <f>HYPERLINK(".\links\NR-LIGHT\TI-139-NR-LIGHT.txt","eukaryotic translation initiation factor 3 subunit I-like")</f>
        <v>eukaryotic translation initiation factor 3 subunit I-like</v>
      </c>
      <c r="T345" t="str">
        <f>HYPERLINK("http://www.ncbi.nlm.nih.gov/sutils/blink.cgi?pid=193599156","1E-091")</f>
        <v>1E-091</v>
      </c>
      <c r="U345" t="str">
        <f>HYPERLINK("http://www.ncbi.nlm.nih.gov/protein/193599156","gi|193599156")</f>
        <v>gi|193599156</v>
      </c>
      <c r="V345">
        <v>337</v>
      </c>
      <c r="W345">
        <v>233</v>
      </c>
      <c r="X345">
        <v>325</v>
      </c>
      <c r="Y345">
        <v>66</v>
      </c>
      <c r="Z345">
        <v>72</v>
      </c>
      <c r="AA345">
        <v>79</v>
      </c>
      <c r="AB345">
        <v>1</v>
      </c>
      <c r="AC345">
        <v>1</v>
      </c>
      <c r="AD345">
        <v>1</v>
      </c>
      <c r="AE345">
        <v>1</v>
      </c>
      <c r="AF345"/>
      <c r="AG345" t="s">
        <v>13</v>
      </c>
      <c r="AH345" t="s">
        <v>51</v>
      </c>
      <c r="AI345" t="s">
        <v>264</v>
      </c>
      <c r="AJ345" t="str">
        <f>HYPERLINK(".\links\SWISSP\TI-139-SWISSP.txt","Eukaryotic translation initiation factor 3 subunit I OS=Drosophila grimshawi")</f>
        <v>Eukaryotic translation initiation factor 3 subunit I OS=Drosophila grimshawi</v>
      </c>
      <c r="AK345" t="str">
        <f>HYPERLINK("http://www.uniprot.org/uniprot/B4JB43","9E-083")</f>
        <v>9E-083</v>
      </c>
      <c r="AL345" t="s">
        <v>145</v>
      </c>
      <c r="AM345">
        <v>306</v>
      </c>
      <c r="AN345">
        <v>235</v>
      </c>
      <c r="AO345">
        <v>326</v>
      </c>
      <c r="AP345">
        <v>63</v>
      </c>
      <c r="AQ345">
        <v>72</v>
      </c>
      <c r="AR345">
        <v>87</v>
      </c>
      <c r="AS345">
        <v>3</v>
      </c>
      <c r="AT345">
        <v>1</v>
      </c>
      <c r="AU345">
        <v>1</v>
      </c>
      <c r="AV345">
        <v>1</v>
      </c>
      <c r="AW345" t="s">
        <v>146</v>
      </c>
      <c r="AX345" t="str">
        <f>HYPERLINK(".\links\PREV-RHOD-PEP\TI-139-PREV-RHOD-PEP.txt","Contig17970_698")</f>
        <v>Contig17970_698</v>
      </c>
      <c r="AY345" s="3">
        <v>9.9999999999999998E-138</v>
      </c>
      <c r="AZ345" t="s">
        <v>1059</v>
      </c>
      <c r="BA345">
        <v>482</v>
      </c>
      <c r="BB345">
        <v>232</v>
      </c>
      <c r="BC345">
        <v>324</v>
      </c>
      <c r="BD345">
        <v>96</v>
      </c>
      <c r="BE345">
        <v>72</v>
      </c>
      <c r="BF345">
        <v>7</v>
      </c>
      <c r="BG345">
        <v>0</v>
      </c>
      <c r="BH345">
        <v>1</v>
      </c>
      <c r="BI345">
        <v>1</v>
      </c>
      <c r="BJ345">
        <v>1</v>
      </c>
      <c r="BK345" t="s">
        <v>633</v>
      </c>
      <c r="BL345">
        <f>HYPERLINK(".\links\GO\TI-139-GO.txt",2E-82)</f>
        <v>1.9999999999999999E-82</v>
      </c>
      <c r="BM345" t="s">
        <v>634</v>
      </c>
      <c r="BN345" t="s">
        <v>635</v>
      </c>
      <c r="BO345" t="s">
        <v>636</v>
      </c>
      <c r="BP345" t="s">
        <v>637</v>
      </c>
      <c r="BQ345" s="3">
        <v>1.9999999999999999E-82</v>
      </c>
      <c r="BR345" t="s">
        <v>638</v>
      </c>
      <c r="BS345" t="s">
        <v>323</v>
      </c>
      <c r="BT345" t="s">
        <v>334</v>
      </c>
      <c r="BU345" t="s">
        <v>639</v>
      </c>
      <c r="BV345" s="3">
        <v>1.9999999999999999E-82</v>
      </c>
      <c r="BW345" t="s">
        <v>336</v>
      </c>
      <c r="BX345" t="s">
        <v>635</v>
      </c>
      <c r="BY345" t="s">
        <v>636</v>
      </c>
      <c r="BZ345" t="s">
        <v>337</v>
      </c>
      <c r="CA345" s="3">
        <v>1.9999999999999999E-82</v>
      </c>
      <c r="CB345" t="s">
        <v>8</v>
      </c>
      <c r="CC345"/>
      <c r="CD345"/>
      <c r="CE345" t="s">
        <v>8</v>
      </c>
      <c r="CF345"/>
      <c r="CG345"/>
      <c r="CH345" t="s">
        <v>8</v>
      </c>
      <c r="CI345"/>
      <c r="CJ345" t="s">
        <v>8</v>
      </c>
      <c r="CK345"/>
      <c r="CL345" t="s">
        <v>8</v>
      </c>
      <c r="CM345"/>
      <c r="CN345" t="s">
        <v>8</v>
      </c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 t="s">
        <v>8</v>
      </c>
      <c r="DC345"/>
      <c r="DD345"/>
      <c r="DE345"/>
      <c r="DF345"/>
      <c r="DG345"/>
      <c r="DH345"/>
      <c r="DI345"/>
      <c r="DJ345"/>
      <c r="DK345"/>
      <c r="DL345"/>
      <c r="DM345"/>
      <c r="DN345"/>
      <c r="DO345"/>
    </row>
    <row r="346" spans="1:119" s="4" customFormat="1">
      <c r="A346" s="6" t="str">
        <f>HYPERLINK(".\links\pep\TI-13-pep.txt","TI-13")</f>
        <v>TI-13</v>
      </c>
      <c r="B346" s="6">
        <v>13</v>
      </c>
      <c r="C346" s="6" t="s">
        <v>10</v>
      </c>
      <c r="D346" s="6">
        <v>84</v>
      </c>
      <c r="E346" s="6">
        <v>0</v>
      </c>
      <c r="F346" s="6" t="str">
        <f>HYPERLINK(".\links\cds\TI-13-cds.txt","TI-13")</f>
        <v>TI-13</v>
      </c>
      <c r="G346" s="6">
        <v>255</v>
      </c>
      <c r="H346" s="6"/>
      <c r="I346" s="6" t="s">
        <v>8</v>
      </c>
      <c r="J346" s="6" t="s">
        <v>6</v>
      </c>
      <c r="K346" s="6">
        <v>2</v>
      </c>
      <c r="L346" s="6">
        <v>0</v>
      </c>
      <c r="M346" s="6">
        <f t="shared" si="6"/>
        <v>2</v>
      </c>
      <c r="N346" s="6" t="s">
        <v>1170</v>
      </c>
      <c r="O346" s="6" t="s">
        <v>1171</v>
      </c>
      <c r="P346" s="6"/>
      <c r="Q346" s="6"/>
      <c r="R346" s="6"/>
      <c r="S346" s="6" t="s">
        <v>8</v>
      </c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 t="s">
        <v>8</v>
      </c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 t="s">
        <v>8</v>
      </c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 t="s">
        <v>8</v>
      </c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 t="s">
        <v>8</v>
      </c>
      <c r="CC346" s="6"/>
      <c r="CD346" s="6"/>
      <c r="CE346" s="6" t="s">
        <v>8</v>
      </c>
      <c r="CF346" s="6"/>
      <c r="CG346" s="6"/>
      <c r="CH346" s="6" t="s">
        <v>8</v>
      </c>
      <c r="CI346" s="6"/>
      <c r="CJ346" s="6" t="s">
        <v>8</v>
      </c>
      <c r="CK346" s="6"/>
      <c r="CL346" s="6" t="s">
        <v>8</v>
      </c>
      <c r="CM346" s="6"/>
      <c r="CN346" s="6" t="s">
        <v>8</v>
      </c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 t="s">
        <v>8</v>
      </c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</row>
    <row r="347" spans="1:119" s="4" customFormat="1">
      <c r="A347" t="str">
        <f>HYPERLINK(".\links\pep\TI-129-pep.txt","TI-129")</f>
        <v>TI-129</v>
      </c>
      <c r="B347">
        <v>129</v>
      </c>
      <c r="C347" t="s">
        <v>7</v>
      </c>
      <c r="D347">
        <v>209</v>
      </c>
      <c r="E347">
        <v>0</v>
      </c>
      <c r="F347" t="str">
        <f>HYPERLINK(".\links\cds\TI-129-cds.txt","TI-129")</f>
        <v>TI-129</v>
      </c>
      <c r="G347">
        <v>630</v>
      </c>
      <c r="H347"/>
      <c r="I347" t="s">
        <v>29</v>
      </c>
      <c r="J347" t="s">
        <v>6</v>
      </c>
      <c r="K347">
        <v>6</v>
      </c>
      <c r="L347">
        <v>1</v>
      </c>
      <c r="M347">
        <f t="shared" si="6"/>
        <v>5</v>
      </c>
      <c r="N347" t="s">
        <v>1277</v>
      </c>
      <c r="O347" t="s">
        <v>1188</v>
      </c>
      <c r="P347" t="str">
        <f>HYPERLINK(".\links\NR-LIGHT\TI-129-NR-LIGHT.txt","NR-LIGHT")</f>
        <v>NR-LIGHT</v>
      </c>
      <c r="Q347" s="3">
        <v>3E-52</v>
      </c>
      <c r="R347">
        <v>42.5</v>
      </c>
      <c r="S347" t="str">
        <f>HYPERLINK(".\links\NR-LIGHT\TI-129-NR-LIGHT.txt","similar to cytochrome P450 CYP6BK17")</f>
        <v>similar to cytochrome P450 CYP6BK17</v>
      </c>
      <c r="T347" t="str">
        <f>HYPERLINK("http://www.ncbi.nlm.nih.gov/sutils/blink.cgi?pid=91084707","3E-052")</f>
        <v>3E-052</v>
      </c>
      <c r="U347" t="str">
        <f>HYPERLINK("http://www.ncbi.nlm.nih.gov/protein/91084707","gi|91084707")</f>
        <v>gi|91084707</v>
      </c>
      <c r="V347">
        <v>206</v>
      </c>
      <c r="W347">
        <v>210</v>
      </c>
      <c r="X347">
        <v>496</v>
      </c>
      <c r="Y347">
        <v>42</v>
      </c>
      <c r="Z347">
        <v>43</v>
      </c>
      <c r="AA347">
        <v>121</v>
      </c>
      <c r="AB347">
        <v>4</v>
      </c>
      <c r="AC347">
        <v>286</v>
      </c>
      <c r="AD347">
        <v>1</v>
      </c>
      <c r="AE347">
        <v>1</v>
      </c>
      <c r="AF347"/>
      <c r="AG347" t="s">
        <v>13</v>
      </c>
      <c r="AH347" t="s">
        <v>51</v>
      </c>
      <c r="AI347" t="s">
        <v>266</v>
      </c>
      <c r="AJ347" t="str">
        <f>HYPERLINK(".\links\SWISSP\TI-129-SWISSP.txt","Probable cytochrome P450 6a14 OS=Drosophila melanogaster GN=Cyp6a14 PE=3 SV=2")</f>
        <v>Probable cytochrome P450 6a14 OS=Drosophila melanogaster GN=Cyp6a14 PE=3 SV=2</v>
      </c>
      <c r="AK347" t="str">
        <f>HYPERLINK("http://www.uniprot.org/uniprot/Q9V4U7","2E-049")</f>
        <v>2E-049</v>
      </c>
      <c r="AL347" t="s">
        <v>144</v>
      </c>
      <c r="AM347">
        <v>195</v>
      </c>
      <c r="AN347">
        <v>211</v>
      </c>
      <c r="AO347">
        <v>509</v>
      </c>
      <c r="AP347">
        <v>44</v>
      </c>
      <c r="AQ347">
        <v>42</v>
      </c>
      <c r="AR347">
        <v>117</v>
      </c>
      <c r="AS347">
        <v>5</v>
      </c>
      <c r="AT347">
        <v>298</v>
      </c>
      <c r="AU347">
        <v>1</v>
      </c>
      <c r="AV347">
        <v>1</v>
      </c>
      <c r="AW347" t="s">
        <v>52</v>
      </c>
      <c r="AX347" t="str">
        <f>HYPERLINK(".\links\PREV-RHOD-PEP\TI-129-PREV-RHOD-PEP.txt","Contig1437_2")</f>
        <v>Contig1437_2</v>
      </c>
      <c r="AY347" s="3">
        <v>1.9999999999999999E-98</v>
      </c>
      <c r="AZ347" t="s">
        <v>1058</v>
      </c>
      <c r="BA347">
        <v>353</v>
      </c>
      <c r="BB347">
        <v>720</v>
      </c>
      <c r="BC347">
        <v>826</v>
      </c>
      <c r="BD347">
        <v>79</v>
      </c>
      <c r="BE347">
        <v>87</v>
      </c>
      <c r="BF347">
        <v>43</v>
      </c>
      <c r="BG347">
        <v>0</v>
      </c>
      <c r="BH347">
        <v>102</v>
      </c>
      <c r="BI347">
        <v>1</v>
      </c>
      <c r="BJ347">
        <v>2</v>
      </c>
      <c r="BK347" t="s">
        <v>630</v>
      </c>
      <c r="BL347">
        <f>HYPERLINK(".\links\GO\TI-129-GO.txt",6E-50)</f>
        <v>5.9999999999999998E-50</v>
      </c>
      <c r="BM347" t="s">
        <v>581</v>
      </c>
      <c r="BN347" t="s">
        <v>581</v>
      </c>
      <c r="BO347"/>
      <c r="BP347" t="s">
        <v>582</v>
      </c>
      <c r="BQ347" s="3">
        <v>2.9999999999999999E-46</v>
      </c>
      <c r="BR347" t="s">
        <v>452</v>
      </c>
      <c r="BS347" t="s">
        <v>323</v>
      </c>
      <c r="BT347" t="s">
        <v>390</v>
      </c>
      <c r="BU347" t="s">
        <v>453</v>
      </c>
      <c r="BV347" s="3">
        <v>2.9999999999999999E-46</v>
      </c>
      <c r="BW347" t="s">
        <v>631</v>
      </c>
      <c r="BX347" t="s">
        <v>581</v>
      </c>
      <c r="BY347"/>
      <c r="BZ347" t="s">
        <v>632</v>
      </c>
      <c r="CA347" s="3">
        <v>2.9999999999999999E-46</v>
      </c>
      <c r="CB347" t="s">
        <v>8</v>
      </c>
      <c r="CC347"/>
      <c r="CD347"/>
      <c r="CE347" t="s">
        <v>8</v>
      </c>
      <c r="CF347"/>
      <c r="CG347"/>
      <c r="CH347" t="s">
        <v>8</v>
      </c>
      <c r="CI347"/>
      <c r="CJ347" t="s">
        <v>8</v>
      </c>
      <c r="CK347"/>
      <c r="CL347" t="s">
        <v>8</v>
      </c>
      <c r="CM347"/>
      <c r="CN347" t="s">
        <v>8</v>
      </c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 t="s">
        <v>8</v>
      </c>
      <c r="DC347"/>
      <c r="DD347"/>
      <c r="DE347"/>
      <c r="DF347"/>
      <c r="DG347"/>
      <c r="DH347"/>
      <c r="DI347"/>
      <c r="DJ347"/>
      <c r="DK347"/>
      <c r="DL347"/>
      <c r="DM347"/>
      <c r="DN347"/>
      <c r="DO347"/>
    </row>
    <row r="348" spans="1:119" s="4" customFormat="1">
      <c r="A348" t="str">
        <f>HYPERLINK(".\links\pep\TI-124-pep.txt","TI-124")</f>
        <v>TI-124</v>
      </c>
      <c r="B348">
        <v>124</v>
      </c>
      <c r="C348" t="s">
        <v>11</v>
      </c>
      <c r="D348">
        <v>144</v>
      </c>
      <c r="E348">
        <v>0</v>
      </c>
      <c r="F348" t="str">
        <f>HYPERLINK(".\links\cds\TI-124-cds.txt","TI-124")</f>
        <v>TI-124</v>
      </c>
      <c r="G348">
        <v>435</v>
      </c>
      <c r="H348"/>
      <c r="I348" t="s">
        <v>8</v>
      </c>
      <c r="J348" t="s">
        <v>6</v>
      </c>
      <c r="K348">
        <v>1</v>
      </c>
      <c r="L348">
        <v>0</v>
      </c>
      <c r="M348">
        <f t="shared" si="6"/>
        <v>1</v>
      </c>
      <c r="N348" t="s">
        <v>1274</v>
      </c>
      <c r="O348" t="s">
        <v>1172</v>
      </c>
      <c r="P348" t="str">
        <f>HYPERLINK(".\links\GO\TI-124-GO.txt","GO")</f>
        <v>GO</v>
      </c>
      <c r="Q348" s="3">
        <v>9.9999999999999992E-72</v>
      </c>
      <c r="R348">
        <v>29</v>
      </c>
      <c r="S348" t="str">
        <f>HYPERLINK(".\links\NR-LIGHT\TI-124-NR-LIGHT.txt","Sec61 alpha 1 subunit")</f>
        <v>Sec61 alpha 1 subunit</v>
      </c>
      <c r="T348" t="str">
        <f>HYPERLINK("http://www.ncbi.nlm.nih.gov/sutils/blink.cgi?pid=187177323","5E-074")</f>
        <v>5E-074</v>
      </c>
      <c r="U348" t="str">
        <f>HYPERLINK("http://www.ncbi.nlm.nih.gov/protein/187177323","gi|187177323")</f>
        <v>gi|187177323</v>
      </c>
      <c r="V348">
        <v>278</v>
      </c>
      <c r="W348">
        <v>138</v>
      </c>
      <c r="X348">
        <v>476</v>
      </c>
      <c r="Y348">
        <v>95</v>
      </c>
      <c r="Z348">
        <v>29</v>
      </c>
      <c r="AA348">
        <v>6</v>
      </c>
      <c r="AB348">
        <v>0</v>
      </c>
      <c r="AC348">
        <v>338</v>
      </c>
      <c r="AD348">
        <v>6</v>
      </c>
      <c r="AE348">
        <v>1</v>
      </c>
      <c r="AF348"/>
      <c r="AG348" t="s">
        <v>13</v>
      </c>
      <c r="AH348" t="s">
        <v>51</v>
      </c>
      <c r="AI348" t="s">
        <v>264</v>
      </c>
      <c r="AJ348" t="str">
        <f>HYPERLINK(".\links\SWISSP\TI-124-SWISSP.txt","Protein transport protein Sec61 subunit alpha isoform 2 OS=Pongo abelii")</f>
        <v>Protein transport protein Sec61 subunit alpha isoform 2 OS=Pongo abelii</v>
      </c>
      <c r="AK348" t="str">
        <f>HYPERLINK("http://www.uniprot.org/uniprot/Q5NVM7","8E-070")</f>
        <v>8E-070</v>
      </c>
      <c r="AL348" t="s">
        <v>141</v>
      </c>
      <c r="AM348">
        <v>261</v>
      </c>
      <c r="AN348">
        <v>138</v>
      </c>
      <c r="AO348">
        <v>476</v>
      </c>
      <c r="AP348">
        <v>88</v>
      </c>
      <c r="AQ348">
        <v>29</v>
      </c>
      <c r="AR348">
        <v>16</v>
      </c>
      <c r="AS348">
        <v>0</v>
      </c>
      <c r="AT348">
        <v>338</v>
      </c>
      <c r="AU348">
        <v>6</v>
      </c>
      <c r="AV348">
        <v>1</v>
      </c>
      <c r="AW348" t="s">
        <v>121</v>
      </c>
      <c r="AX348" t="str">
        <f>HYPERLINK(".\links\PREV-RHOD-PEP\TI-124-PREV-RHOD-PEP.txt","Contig17893_55")</f>
        <v>Contig17893_55</v>
      </c>
      <c r="AY348" s="3">
        <v>1.9999999999999999E-77</v>
      </c>
      <c r="AZ348" t="s">
        <v>1056</v>
      </c>
      <c r="BA348">
        <v>283</v>
      </c>
      <c r="BB348">
        <v>138</v>
      </c>
      <c r="BC348">
        <v>476</v>
      </c>
      <c r="BD348">
        <v>98</v>
      </c>
      <c r="BE348">
        <v>29</v>
      </c>
      <c r="BF348">
        <v>2</v>
      </c>
      <c r="BG348">
        <v>0</v>
      </c>
      <c r="BH348">
        <v>338</v>
      </c>
      <c r="BI348">
        <v>6</v>
      </c>
      <c r="BJ348">
        <v>1</v>
      </c>
      <c r="BK348" t="s">
        <v>620</v>
      </c>
      <c r="BL348">
        <f>HYPERLINK(".\links\GO\TI-124-GO.txt",1E-71)</f>
        <v>9.9999999999999992E-72</v>
      </c>
      <c r="BM348" t="s">
        <v>621</v>
      </c>
      <c r="BN348" t="s">
        <v>319</v>
      </c>
      <c r="BO348" t="s">
        <v>320</v>
      </c>
      <c r="BP348" t="s">
        <v>622</v>
      </c>
      <c r="BQ348" s="3">
        <v>9.9999999999999992E-72</v>
      </c>
      <c r="BR348" t="s">
        <v>623</v>
      </c>
      <c r="BS348" t="s">
        <v>477</v>
      </c>
      <c r="BT348" t="s">
        <v>477</v>
      </c>
      <c r="BU348" t="s">
        <v>624</v>
      </c>
      <c r="BV348" s="3">
        <v>9.9999999999999992E-72</v>
      </c>
      <c r="BW348" t="s">
        <v>625</v>
      </c>
      <c r="BX348" t="s">
        <v>319</v>
      </c>
      <c r="BY348" t="s">
        <v>320</v>
      </c>
      <c r="BZ348" t="s">
        <v>626</v>
      </c>
      <c r="CA348" s="3">
        <v>9.9999999999999992E-72</v>
      </c>
      <c r="CB348" t="s">
        <v>8</v>
      </c>
      <c r="CC348"/>
      <c r="CD348"/>
      <c r="CE348" t="s">
        <v>8</v>
      </c>
      <c r="CF348"/>
      <c r="CG348"/>
      <c r="CH348" t="s">
        <v>8</v>
      </c>
      <c r="CI348"/>
      <c r="CJ348" t="s">
        <v>8</v>
      </c>
      <c r="CK348"/>
      <c r="CL348" t="s">
        <v>8</v>
      </c>
      <c r="CM348"/>
      <c r="CN348" t="s">
        <v>8</v>
      </c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 t="s">
        <v>8</v>
      </c>
      <c r="DC348"/>
      <c r="DD348"/>
      <c r="DE348"/>
      <c r="DF348"/>
      <c r="DG348"/>
      <c r="DH348"/>
      <c r="DI348"/>
      <c r="DJ348"/>
      <c r="DK348"/>
      <c r="DL348"/>
      <c r="DM348"/>
      <c r="DN348"/>
      <c r="DO348"/>
    </row>
    <row r="349" spans="1:119" s="4" customFormat="1">
      <c r="A349" t="str">
        <f>HYPERLINK(".\links\pep\TI-123-pep.txt","TI-123")</f>
        <v>TI-123</v>
      </c>
      <c r="B349">
        <v>123</v>
      </c>
      <c r="C349" t="s">
        <v>9</v>
      </c>
      <c r="D349">
        <v>155</v>
      </c>
      <c r="E349">
        <v>0</v>
      </c>
      <c r="F349" t="str">
        <f>HYPERLINK(".\links\cds\TI-123-cds.txt","TI-123")</f>
        <v>TI-123</v>
      </c>
      <c r="G349">
        <v>468</v>
      </c>
      <c r="H349"/>
      <c r="I349" t="s">
        <v>8</v>
      </c>
      <c r="J349" t="s">
        <v>6</v>
      </c>
      <c r="K349">
        <v>2</v>
      </c>
      <c r="L349">
        <v>0</v>
      </c>
      <c r="M349">
        <f t="shared" si="6"/>
        <v>2</v>
      </c>
      <c r="N349" t="s">
        <v>1273</v>
      </c>
      <c r="O349" t="s">
        <v>1168</v>
      </c>
      <c r="P349" t="str">
        <f>HYPERLINK(".\links\NR-LIGHT\TI-123-NR-LIGHT.txt","NR-LIGHT")</f>
        <v>NR-LIGHT</v>
      </c>
      <c r="Q349" s="3">
        <v>4.9999999999999996E-41</v>
      </c>
      <c r="R349">
        <v>25.8</v>
      </c>
      <c r="S349" t="str">
        <f>HYPERLINK(".\links\NR-LIGHT\TI-123-NR-LIGHT.txt","alpha-glucosidase binding-toxin receptor")</f>
        <v>alpha-glucosidase binding-toxin receptor</v>
      </c>
      <c r="T349" t="str">
        <f>HYPERLINK("http://www.ncbi.nlm.nih.gov/sutils/blink.cgi?pid=159792926","5E-039")</f>
        <v>5E-039</v>
      </c>
      <c r="U349" t="str">
        <f>HYPERLINK("http://www.ncbi.nlm.nih.gov/protein/159792926","gi|159792926")</f>
        <v>gi|159792926</v>
      </c>
      <c r="V349">
        <v>161</v>
      </c>
      <c r="W349">
        <v>150</v>
      </c>
      <c r="X349">
        <v>588</v>
      </c>
      <c r="Y349">
        <v>48</v>
      </c>
      <c r="Z349">
        <v>26</v>
      </c>
      <c r="AA349">
        <v>79</v>
      </c>
      <c r="AB349">
        <v>2</v>
      </c>
      <c r="AC349">
        <v>59</v>
      </c>
      <c r="AD349">
        <v>1</v>
      </c>
      <c r="AE349">
        <v>1</v>
      </c>
      <c r="AF349"/>
      <c r="AG349" t="s">
        <v>13</v>
      </c>
      <c r="AH349" t="s">
        <v>51</v>
      </c>
      <c r="AI349" t="s">
        <v>110</v>
      </c>
      <c r="AJ349" t="str">
        <f>HYPERLINK(".\links\SWISSP\TI-123-SWISSP.txt","Maltase 2 OS=Drosophila virilis GN=Mav2 PE=3 SV=1")</f>
        <v>Maltase 2 OS=Drosophila virilis GN=Mav2 PE=3 SV=1</v>
      </c>
      <c r="AK349" t="str">
        <f>HYPERLINK("http://www.uniprot.org/uniprot/O16099","2E-034")</f>
        <v>2E-034</v>
      </c>
      <c r="AL349" t="s">
        <v>140</v>
      </c>
      <c r="AM349">
        <v>144</v>
      </c>
      <c r="AN349">
        <v>149</v>
      </c>
      <c r="AO349">
        <v>524</v>
      </c>
      <c r="AP349">
        <v>46</v>
      </c>
      <c r="AQ349">
        <v>29</v>
      </c>
      <c r="AR349">
        <v>81</v>
      </c>
      <c r="AS349">
        <v>3</v>
      </c>
      <c r="AT349">
        <v>67</v>
      </c>
      <c r="AU349">
        <v>1</v>
      </c>
      <c r="AV349">
        <v>1</v>
      </c>
      <c r="AW349" t="s">
        <v>60</v>
      </c>
      <c r="AX349" t="str">
        <f>HYPERLINK(".\links\PREV-RHOD-PEP\TI-123-PREV-RHOD-PEP.txt","Contig17590_30")</f>
        <v>Contig17590_30</v>
      </c>
      <c r="AY349" s="3">
        <v>4.9999999999999999E-67</v>
      </c>
      <c r="AZ349" t="s">
        <v>1029</v>
      </c>
      <c r="BA349">
        <v>249</v>
      </c>
      <c r="BB349">
        <v>153</v>
      </c>
      <c r="BC349">
        <v>599</v>
      </c>
      <c r="BD349">
        <v>76</v>
      </c>
      <c r="BE349">
        <v>26</v>
      </c>
      <c r="BF349">
        <v>36</v>
      </c>
      <c r="BG349">
        <v>1</v>
      </c>
      <c r="BH349">
        <v>50</v>
      </c>
      <c r="BI349">
        <v>1</v>
      </c>
      <c r="BJ349">
        <v>1</v>
      </c>
      <c r="BK349" t="s">
        <v>536</v>
      </c>
      <c r="BL349">
        <f>HYPERLINK(".\links\GO\TI-123-GO.txt",1E-34)</f>
        <v>9.9999999999999993E-35</v>
      </c>
      <c r="BM349" t="s">
        <v>8</v>
      </c>
      <c r="BN349" t="s">
        <v>8</v>
      </c>
      <c r="BO349" t="s">
        <v>8</v>
      </c>
      <c r="BP349" t="s">
        <v>8</v>
      </c>
      <c r="BQ349" t="s">
        <v>8</v>
      </c>
      <c r="BR349" t="s">
        <v>407</v>
      </c>
      <c r="BS349" t="s">
        <v>323</v>
      </c>
      <c r="BT349" t="s">
        <v>334</v>
      </c>
      <c r="BU349" t="s">
        <v>408</v>
      </c>
      <c r="BV349" s="3">
        <v>1.0000000000000001E-30</v>
      </c>
      <c r="BW349" t="s">
        <v>8</v>
      </c>
      <c r="BX349" t="s">
        <v>8</v>
      </c>
      <c r="BY349" t="s">
        <v>8</v>
      </c>
      <c r="BZ349" t="s">
        <v>8</v>
      </c>
      <c r="CA349" t="s">
        <v>8</v>
      </c>
      <c r="CB349" t="s">
        <v>8</v>
      </c>
      <c r="CC349"/>
      <c r="CD349"/>
      <c r="CE349" t="s">
        <v>8</v>
      </c>
      <c r="CF349"/>
      <c r="CG349"/>
      <c r="CH349" t="s">
        <v>8</v>
      </c>
      <c r="CI349"/>
      <c r="CJ349" t="s">
        <v>8</v>
      </c>
      <c r="CK349"/>
      <c r="CL349" t="s">
        <v>8</v>
      </c>
      <c r="CM349"/>
      <c r="CN349" t="s">
        <v>8</v>
      </c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 t="s">
        <v>8</v>
      </c>
      <c r="DC349"/>
      <c r="DD349"/>
      <c r="DE349"/>
      <c r="DF349"/>
      <c r="DG349"/>
      <c r="DH349"/>
      <c r="DI349"/>
      <c r="DJ349"/>
      <c r="DK349"/>
      <c r="DL349"/>
      <c r="DM349"/>
      <c r="DN349"/>
      <c r="DO349"/>
    </row>
    <row r="350" spans="1:119" s="4" customFormat="1">
      <c r="A350" s="6" t="str">
        <f>HYPERLINK(".\links\pep\TI-117-pep.txt","TI-117")</f>
        <v>TI-117</v>
      </c>
      <c r="B350" s="6">
        <v>117</v>
      </c>
      <c r="C350" s="6" t="s">
        <v>10</v>
      </c>
      <c r="D350" s="6">
        <v>25</v>
      </c>
      <c r="E350" s="6">
        <v>0</v>
      </c>
      <c r="F350" s="6" t="str">
        <f>HYPERLINK(".\links\cds\TI-117-cds.txt","TI-117")</f>
        <v>TI-117</v>
      </c>
      <c r="G350" s="6">
        <v>78</v>
      </c>
      <c r="H350" s="6"/>
      <c r="I350" s="6" t="s">
        <v>8</v>
      </c>
      <c r="J350" s="6" t="s">
        <v>6</v>
      </c>
      <c r="K350" s="6">
        <v>1</v>
      </c>
      <c r="L350" s="6">
        <v>0</v>
      </c>
      <c r="M350" s="6">
        <f t="shared" si="6"/>
        <v>1</v>
      </c>
      <c r="N350" s="6" t="s">
        <v>1170</v>
      </c>
      <c r="O350" s="6" t="s">
        <v>1171</v>
      </c>
      <c r="P350" s="6"/>
      <c r="Q350" s="6"/>
      <c r="R350" s="6"/>
      <c r="S350" s="6" t="s">
        <v>8</v>
      </c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 t="s">
        <v>8</v>
      </c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 t="s">
        <v>8</v>
      </c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 t="s">
        <v>8</v>
      </c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 t="s">
        <v>8</v>
      </c>
      <c r="CC350" s="6"/>
      <c r="CD350" s="6"/>
      <c r="CE350" s="6" t="s">
        <v>8</v>
      </c>
      <c r="CF350" s="6"/>
      <c r="CG350" s="6"/>
      <c r="CH350" s="6" t="s">
        <v>8</v>
      </c>
      <c r="CI350" s="6"/>
      <c r="CJ350" s="6" t="s">
        <v>8</v>
      </c>
      <c r="CK350" s="6"/>
      <c r="CL350" s="6" t="s">
        <v>8</v>
      </c>
      <c r="CM350" s="6"/>
      <c r="CN350" s="6" t="s">
        <v>8</v>
      </c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 t="s">
        <v>8</v>
      </c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</row>
    <row r="351" spans="1:119" s="4" customFormat="1">
      <c r="A351" s="6" t="str">
        <f>HYPERLINK(".\links\pep\TI-116-pep.txt","TI-116")</f>
        <v>TI-116</v>
      </c>
      <c r="B351" s="6">
        <v>116</v>
      </c>
      <c r="C351" s="6" t="s">
        <v>12</v>
      </c>
      <c r="D351" s="6">
        <v>68</v>
      </c>
      <c r="E351" s="6">
        <v>0</v>
      </c>
      <c r="F351" s="6" t="str">
        <f>HYPERLINK(".\links\cds\TI-116-cds.txt","TI-116")</f>
        <v>TI-116</v>
      </c>
      <c r="G351" s="6">
        <v>207</v>
      </c>
      <c r="H351" s="6"/>
      <c r="I351" s="6" t="s">
        <v>8</v>
      </c>
      <c r="J351" s="6" t="s">
        <v>6</v>
      </c>
      <c r="K351" s="6">
        <v>1</v>
      </c>
      <c r="L351" s="6">
        <v>0</v>
      </c>
      <c r="M351" s="6">
        <f t="shared" si="6"/>
        <v>1</v>
      </c>
      <c r="N351" s="6" t="s">
        <v>1170</v>
      </c>
      <c r="O351" s="6" t="s">
        <v>1171</v>
      </c>
      <c r="P351" s="6"/>
      <c r="Q351" s="6"/>
      <c r="R351" s="6"/>
      <c r="S351" s="6" t="s">
        <v>8</v>
      </c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 t="s">
        <v>8</v>
      </c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 t="s">
        <v>8</v>
      </c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 t="s">
        <v>8</v>
      </c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 t="s">
        <v>8</v>
      </c>
      <c r="CC351" s="6"/>
      <c r="CD351" s="6"/>
      <c r="CE351" s="6" t="s">
        <v>8</v>
      </c>
      <c r="CF351" s="6"/>
      <c r="CG351" s="6"/>
      <c r="CH351" s="6" t="s">
        <v>8</v>
      </c>
      <c r="CI351" s="6"/>
      <c r="CJ351" s="6" t="s">
        <v>8</v>
      </c>
      <c r="CK351" s="6"/>
      <c r="CL351" s="6" t="s">
        <v>8</v>
      </c>
      <c r="CM351" s="6"/>
      <c r="CN351" s="6" t="s">
        <v>8</v>
      </c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 t="s">
        <v>8</v>
      </c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</row>
    <row r="352" spans="1:119" s="4" customFormat="1">
      <c r="A352" s="6" t="str">
        <f>HYPERLINK(".\links\pep\TI-115-pep.txt","TI-115")</f>
        <v>TI-115</v>
      </c>
      <c r="B352" s="6">
        <v>115</v>
      </c>
      <c r="C352" s="6" t="s">
        <v>7</v>
      </c>
      <c r="D352" s="6">
        <v>27</v>
      </c>
      <c r="E352" s="6">
        <v>0</v>
      </c>
      <c r="F352" s="6" t="str">
        <f>HYPERLINK(".\links\cds\TI-115-cds.txt","TI-115")</f>
        <v>TI-115</v>
      </c>
      <c r="G352" s="6">
        <v>84</v>
      </c>
      <c r="H352" s="6"/>
      <c r="I352" s="6" t="s">
        <v>29</v>
      </c>
      <c r="J352" s="6" t="s">
        <v>6</v>
      </c>
      <c r="K352" s="6">
        <v>1</v>
      </c>
      <c r="L352" s="6">
        <v>0</v>
      </c>
      <c r="M352" s="6">
        <f t="shared" si="6"/>
        <v>1</v>
      </c>
      <c r="N352" s="6" t="s">
        <v>1170</v>
      </c>
      <c r="O352" s="6" t="s">
        <v>1171</v>
      </c>
      <c r="P352" s="6"/>
      <c r="Q352" s="6"/>
      <c r="R352" s="6"/>
      <c r="S352" s="6" t="s">
        <v>8</v>
      </c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 t="s">
        <v>8</v>
      </c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 t="s">
        <v>8</v>
      </c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 t="s">
        <v>8</v>
      </c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 t="s">
        <v>8</v>
      </c>
      <c r="CC352" s="6"/>
      <c r="CD352" s="6"/>
      <c r="CE352" s="6" t="s">
        <v>8</v>
      </c>
      <c r="CF352" s="6"/>
      <c r="CG352" s="6"/>
      <c r="CH352" s="6" t="s">
        <v>8</v>
      </c>
      <c r="CI352" s="6"/>
      <c r="CJ352" s="6" t="s">
        <v>8</v>
      </c>
      <c r="CK352" s="6"/>
      <c r="CL352" s="6" t="s">
        <v>8</v>
      </c>
      <c r="CM352" s="6"/>
      <c r="CN352" s="6" t="s">
        <v>8</v>
      </c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 t="s">
        <v>8</v>
      </c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</row>
    <row r="353" spans="1:119" s="4" customFormat="1">
      <c r="A353" t="str">
        <f>HYPERLINK(".\links\pep\TI-113-pep.txt","TI-113")</f>
        <v>TI-113</v>
      </c>
      <c r="B353">
        <v>113</v>
      </c>
      <c r="C353" t="s">
        <v>7</v>
      </c>
      <c r="D353">
        <v>161</v>
      </c>
      <c r="E353" s="2">
        <v>1.863354</v>
      </c>
      <c r="F353" t="str">
        <f>HYPERLINK(".\links\cds\TI-113-cds.txt","TI-113")</f>
        <v>TI-113</v>
      </c>
      <c r="G353">
        <v>481</v>
      </c>
      <c r="H353"/>
      <c r="I353" t="s">
        <v>29</v>
      </c>
      <c r="J353" t="s">
        <v>8</v>
      </c>
      <c r="K353">
        <v>1</v>
      </c>
      <c r="L353">
        <v>0</v>
      </c>
      <c r="M353">
        <f t="shared" si="6"/>
        <v>1</v>
      </c>
      <c r="N353" t="s">
        <v>1271</v>
      </c>
      <c r="O353" t="s">
        <v>1187</v>
      </c>
      <c r="P353" t="str">
        <f>HYPERLINK(".\links\NR-LIGHT\TI-113-NR-LIGHT.txt","NR-LIGHT")</f>
        <v>NR-LIGHT</v>
      </c>
      <c r="Q353" s="3">
        <v>9.9999999999999993E-77</v>
      </c>
      <c r="R353">
        <v>56.6</v>
      </c>
      <c r="S353" t="str">
        <f>HYPERLINK(".\links\NR-LIGHT\TI-113-NR-LIGHT.txt","p38 map kinase")</f>
        <v>p38 map kinase</v>
      </c>
      <c r="T353" t="str">
        <f>HYPERLINK("http://www.ncbi.nlm.nih.gov/sutils/blink.cgi?pid=218749850","7E-077")</f>
        <v>7E-077</v>
      </c>
      <c r="U353" t="str">
        <f>HYPERLINK("http://www.ncbi.nlm.nih.gov/protein/218749850","gi|218749850")</f>
        <v>gi|218749850</v>
      </c>
      <c r="V353">
        <v>287</v>
      </c>
      <c r="W353">
        <v>203</v>
      </c>
      <c r="X353">
        <v>356</v>
      </c>
      <c r="Y353">
        <v>68</v>
      </c>
      <c r="Z353">
        <v>57</v>
      </c>
      <c r="AA353">
        <v>64</v>
      </c>
      <c r="AB353">
        <v>43</v>
      </c>
      <c r="AC353">
        <v>1</v>
      </c>
      <c r="AD353">
        <v>1</v>
      </c>
      <c r="AE353">
        <v>1</v>
      </c>
      <c r="AF353"/>
      <c r="AG353" t="s">
        <v>13</v>
      </c>
      <c r="AH353" t="s">
        <v>51</v>
      </c>
      <c r="AI353" t="s">
        <v>274</v>
      </c>
      <c r="AJ353" t="str">
        <f>HYPERLINK(".\links\SWISSP\TI-113-SWISSP.txt","Mitogen-activated protein kinase 14B OS=Drosophila melanogaster GN=p38b PE=1")</f>
        <v>Mitogen-activated protein kinase 14B OS=Drosophila melanogaster GN=p38b PE=1</v>
      </c>
      <c r="AK353" t="str">
        <f>HYPERLINK("http://www.uniprot.org/uniprot/O61443","8E-070")</f>
        <v>8E-070</v>
      </c>
      <c r="AL353" t="s">
        <v>101</v>
      </c>
      <c r="AM353">
        <v>262</v>
      </c>
      <c r="AN353">
        <v>206</v>
      </c>
      <c r="AO353">
        <v>365</v>
      </c>
      <c r="AP353">
        <v>61</v>
      </c>
      <c r="AQ353">
        <v>57</v>
      </c>
      <c r="AR353">
        <v>80</v>
      </c>
      <c r="AS353">
        <v>46</v>
      </c>
      <c r="AT353">
        <v>5</v>
      </c>
      <c r="AU353">
        <v>1</v>
      </c>
      <c r="AV353">
        <v>1</v>
      </c>
      <c r="AW353" t="s">
        <v>52</v>
      </c>
      <c r="AX353" t="str">
        <f>HYPERLINK(".\links\PREV-RHOD-PEP\TI-113-PREV-RHOD-PEP.txt","Contig17970_150")</f>
        <v>Contig17970_150</v>
      </c>
      <c r="AY353" s="3">
        <v>1.0000000000000001E-86</v>
      </c>
      <c r="AZ353" t="s">
        <v>1016</v>
      </c>
      <c r="BA353">
        <v>314</v>
      </c>
      <c r="BB353">
        <v>203</v>
      </c>
      <c r="BC353">
        <v>358</v>
      </c>
      <c r="BD353">
        <v>76</v>
      </c>
      <c r="BE353">
        <v>57</v>
      </c>
      <c r="BF353">
        <v>48</v>
      </c>
      <c r="BG353">
        <v>43</v>
      </c>
      <c r="BH353">
        <v>1</v>
      </c>
      <c r="BI353">
        <v>1</v>
      </c>
      <c r="BJ353">
        <v>1</v>
      </c>
      <c r="BK353" t="s">
        <v>481</v>
      </c>
      <c r="BL353">
        <f>HYPERLINK(".\links\GO\TI-113-GO.txt",2E-70)</f>
        <v>2E-70</v>
      </c>
      <c r="BM353" t="s">
        <v>482</v>
      </c>
      <c r="BN353" t="s">
        <v>345</v>
      </c>
      <c r="BO353" t="s">
        <v>346</v>
      </c>
      <c r="BP353" t="s">
        <v>483</v>
      </c>
      <c r="BQ353" s="3">
        <v>2E-70</v>
      </c>
      <c r="BR353" t="s">
        <v>447</v>
      </c>
      <c r="BS353" t="s">
        <v>323</v>
      </c>
      <c r="BT353" t="s">
        <v>334</v>
      </c>
      <c r="BU353" t="s">
        <v>448</v>
      </c>
      <c r="BV353" s="3">
        <v>2E-70</v>
      </c>
      <c r="BW353" t="s">
        <v>484</v>
      </c>
      <c r="BX353" t="s">
        <v>345</v>
      </c>
      <c r="BY353" t="s">
        <v>346</v>
      </c>
      <c r="BZ353" t="s">
        <v>485</v>
      </c>
      <c r="CA353" s="3">
        <v>2E-70</v>
      </c>
      <c r="CB353" t="s">
        <v>8</v>
      </c>
      <c r="CC353"/>
      <c r="CD353"/>
      <c r="CE353" t="s">
        <v>8</v>
      </c>
      <c r="CF353"/>
      <c r="CG353"/>
      <c r="CH353" t="s">
        <v>8</v>
      </c>
      <c r="CI353"/>
      <c r="CJ353" t="s">
        <v>8</v>
      </c>
      <c r="CK353"/>
      <c r="CL353" t="s">
        <v>8</v>
      </c>
      <c r="CM353"/>
      <c r="CN353" t="s">
        <v>8</v>
      </c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 t="s">
        <v>8</v>
      </c>
      <c r="DC353"/>
      <c r="DD353"/>
      <c r="DE353"/>
      <c r="DF353"/>
      <c r="DG353"/>
      <c r="DH353"/>
      <c r="DI353"/>
      <c r="DJ353"/>
      <c r="DK353"/>
      <c r="DL353"/>
      <c r="DM353"/>
      <c r="DN353"/>
      <c r="DO353"/>
    </row>
    <row r="354" spans="1:119" s="4" customFormat="1">
      <c r="A354" s="6" t="str">
        <f>HYPERLINK(".\links\pep\TI-110-pep.txt","TI-110")</f>
        <v>TI-110</v>
      </c>
      <c r="B354" s="6">
        <v>110</v>
      </c>
      <c r="C354" s="6" t="s">
        <v>17</v>
      </c>
      <c r="D354" s="6">
        <v>44</v>
      </c>
      <c r="E354" s="6">
        <v>0</v>
      </c>
      <c r="F354" s="6" t="str">
        <f>HYPERLINK(".\links\cds\TI-110-cds.txt","TI-110")</f>
        <v>TI-110</v>
      </c>
      <c r="G354" s="6">
        <v>135</v>
      </c>
      <c r="H354" s="6"/>
      <c r="I354" s="6" t="s">
        <v>8</v>
      </c>
      <c r="J354" s="6" t="s">
        <v>6</v>
      </c>
      <c r="K354" s="6">
        <v>1</v>
      </c>
      <c r="L354" s="6">
        <v>0</v>
      </c>
      <c r="M354" s="6">
        <f t="shared" si="6"/>
        <v>1</v>
      </c>
      <c r="N354" s="6" t="s">
        <v>1170</v>
      </c>
      <c r="O354" s="6" t="s">
        <v>1171</v>
      </c>
      <c r="P354" s="6"/>
      <c r="Q354" s="6"/>
      <c r="R354" s="6"/>
      <c r="S354" s="6" t="s">
        <v>8</v>
      </c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 t="s">
        <v>8</v>
      </c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 t="s">
        <v>8</v>
      </c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 t="s">
        <v>8</v>
      </c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 t="s">
        <v>8</v>
      </c>
      <c r="CC354" s="6"/>
      <c r="CD354" s="6"/>
      <c r="CE354" s="6" t="s">
        <v>8</v>
      </c>
      <c r="CF354" s="6"/>
      <c r="CG354" s="6"/>
      <c r="CH354" s="6" t="s">
        <v>8</v>
      </c>
      <c r="CI354" s="6"/>
      <c r="CJ354" s="6" t="s">
        <v>8</v>
      </c>
      <c r="CK354" s="6"/>
      <c r="CL354" s="6" t="s">
        <v>8</v>
      </c>
      <c r="CM354" s="6"/>
      <c r="CN354" s="6" t="s">
        <v>8</v>
      </c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 t="s">
        <v>8</v>
      </c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</row>
    <row r="355" spans="1:119" s="4" customFormat="1">
      <c r="A355" t="str">
        <f>HYPERLINK(".\links\pep\TI-11-pep.txt","TI-11")</f>
        <v>TI-11</v>
      </c>
      <c r="B355">
        <v>11</v>
      </c>
      <c r="C355" t="s">
        <v>16</v>
      </c>
      <c r="D355">
        <v>203</v>
      </c>
      <c r="E355">
        <v>0</v>
      </c>
      <c r="F355" t="str">
        <f>HYPERLINK(".\links\cds\TI-11-cds.txt","TI-11")</f>
        <v>TI-11</v>
      </c>
      <c r="G355">
        <v>612</v>
      </c>
      <c r="H355"/>
      <c r="I355" t="s">
        <v>8</v>
      </c>
      <c r="J355" t="s">
        <v>6</v>
      </c>
      <c r="K355">
        <v>1</v>
      </c>
      <c r="L355">
        <v>0</v>
      </c>
      <c r="M355">
        <f t="shared" si="6"/>
        <v>1</v>
      </c>
      <c r="N355" t="s">
        <v>1251</v>
      </c>
      <c r="O355" t="s">
        <v>1187</v>
      </c>
      <c r="P355" t="str">
        <f>HYPERLINK(".\links\GO\TI-11-GO.txt","GO")</f>
        <v>GO</v>
      </c>
      <c r="Q355">
        <v>0</v>
      </c>
      <c r="R355">
        <v>20.9</v>
      </c>
      <c r="S355" t="str">
        <f>HYPERLINK(".\links\NR-LIGHT\TI-11-NR-LIGHT.txt","similar to discs large 1 CG1725-PK")</f>
        <v>similar to discs large 1 CG1725-PK</v>
      </c>
      <c r="T355" t="str">
        <f>HYPERLINK("http://www.ncbi.nlm.nih.gov/sutils/blink.cgi?pid=189234387","1E-103")</f>
        <v>1E-103</v>
      </c>
      <c r="U355" t="str">
        <f>HYPERLINK("http://www.ncbi.nlm.nih.gov/protein/189234387","gi|189234387")</f>
        <v>gi|189234387</v>
      </c>
      <c r="V355">
        <v>376</v>
      </c>
      <c r="W355">
        <v>202</v>
      </c>
      <c r="X355">
        <v>729</v>
      </c>
      <c r="Y355">
        <v>86</v>
      </c>
      <c r="Z355">
        <v>28</v>
      </c>
      <c r="AA355">
        <v>27</v>
      </c>
      <c r="AB355">
        <v>0</v>
      </c>
      <c r="AC355">
        <v>527</v>
      </c>
      <c r="AD355">
        <v>1</v>
      </c>
      <c r="AE355">
        <v>1</v>
      </c>
      <c r="AF355"/>
      <c r="AG355" t="s">
        <v>13</v>
      </c>
      <c r="AH355" t="s">
        <v>51</v>
      </c>
      <c r="AI355" t="s">
        <v>266</v>
      </c>
      <c r="AJ355" t="str">
        <f>HYPERLINK(".\links\SWISSP\TI-11-SWISSP.txt","Disks large 1 tumor suppressor protein OS=Drosophila melanogaster GN=dlg1 PE=1")</f>
        <v>Disks large 1 tumor suppressor protein OS=Drosophila melanogaster GN=dlg1 PE=1</v>
      </c>
      <c r="AK355" t="str">
        <f>HYPERLINK("http://www.uniprot.org/uniprot/P31007","1E-102")</f>
        <v>1E-102</v>
      </c>
      <c r="AL355" t="s">
        <v>113</v>
      </c>
      <c r="AM355">
        <v>370</v>
      </c>
      <c r="AN355">
        <v>202</v>
      </c>
      <c r="AO355">
        <v>970</v>
      </c>
      <c r="AP355">
        <v>83</v>
      </c>
      <c r="AQ355">
        <v>21</v>
      </c>
      <c r="AR355">
        <v>34</v>
      </c>
      <c r="AS355">
        <v>0</v>
      </c>
      <c r="AT355">
        <v>768</v>
      </c>
      <c r="AU355">
        <v>1</v>
      </c>
      <c r="AV355">
        <v>1</v>
      </c>
      <c r="AW355" t="s">
        <v>52</v>
      </c>
      <c r="AX355" t="str">
        <f>HYPERLINK(".\links\PREV-RHOD-PEP\TI-11-PREV-RHOD-PEP.txt","Contig17160_2")</f>
        <v>Contig17160_2</v>
      </c>
      <c r="AY355" s="3">
        <v>9.9999999999999994E-37</v>
      </c>
      <c r="AZ355" t="s">
        <v>1028</v>
      </c>
      <c r="BA355">
        <v>148</v>
      </c>
      <c r="BB355">
        <v>70</v>
      </c>
      <c r="BC355">
        <v>71</v>
      </c>
      <c r="BD355">
        <v>100</v>
      </c>
      <c r="BE355">
        <v>100</v>
      </c>
      <c r="BF355">
        <v>0</v>
      </c>
      <c r="BG355">
        <v>0</v>
      </c>
      <c r="BH355">
        <v>1</v>
      </c>
      <c r="BI355">
        <v>68</v>
      </c>
      <c r="BJ355">
        <v>1</v>
      </c>
      <c r="BK355" t="s">
        <v>530</v>
      </c>
      <c r="BL355">
        <f>HYPERLINK(".\links\GO\TI-11-GO.txt",0)</f>
        <v>0</v>
      </c>
      <c r="BM355" t="s">
        <v>531</v>
      </c>
      <c r="BN355" t="s">
        <v>345</v>
      </c>
      <c r="BO355" t="s">
        <v>346</v>
      </c>
      <c r="BP355" t="s">
        <v>532</v>
      </c>
      <c r="BQ355" s="3">
        <v>9.9999999999999993E-103</v>
      </c>
      <c r="BR355" t="s">
        <v>438</v>
      </c>
      <c r="BS355" t="s">
        <v>323</v>
      </c>
      <c r="BT355" t="s">
        <v>324</v>
      </c>
      <c r="BU355" t="s">
        <v>439</v>
      </c>
      <c r="BV355" s="3">
        <v>9.9999999999999993E-103</v>
      </c>
      <c r="BW355" t="s">
        <v>533</v>
      </c>
      <c r="BX355" t="s">
        <v>345</v>
      </c>
      <c r="BY355" t="s">
        <v>346</v>
      </c>
      <c r="BZ355" t="s">
        <v>534</v>
      </c>
      <c r="CA355" s="3">
        <v>9.9999999999999993E-103</v>
      </c>
      <c r="CB355" t="s">
        <v>8</v>
      </c>
      <c r="CC355"/>
      <c r="CD355"/>
      <c r="CE355" t="s">
        <v>8</v>
      </c>
      <c r="CF355"/>
      <c r="CG355"/>
      <c r="CH355" t="s">
        <v>8</v>
      </c>
      <c r="CI355"/>
      <c r="CJ355" t="s">
        <v>8</v>
      </c>
      <c r="CK355"/>
      <c r="CL355" t="s">
        <v>8</v>
      </c>
      <c r="CM355"/>
      <c r="CN355" t="s">
        <v>8</v>
      </c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 t="s">
        <v>8</v>
      </c>
      <c r="DC355"/>
      <c r="DD355"/>
      <c r="DE355"/>
      <c r="DF355"/>
      <c r="DG355"/>
      <c r="DH355"/>
      <c r="DI355"/>
      <c r="DJ355"/>
      <c r="DK355"/>
      <c r="DL355"/>
      <c r="DM355"/>
      <c r="DN355"/>
      <c r="DO355"/>
    </row>
    <row r="356" spans="1:119" s="4" customFormat="1">
      <c r="A356" s="6" t="str">
        <f>HYPERLINK(".\links\pep\TI-109-pep.txt","TI-109")</f>
        <v>TI-109</v>
      </c>
      <c r="B356" s="6">
        <v>109</v>
      </c>
      <c r="C356" s="6" t="s">
        <v>7</v>
      </c>
      <c r="D356" s="6">
        <v>39</v>
      </c>
      <c r="E356" s="6">
        <v>0</v>
      </c>
      <c r="F356" s="6" t="str">
        <f>HYPERLINK(".\links\cds\TI-109-cds.txt","TI-109")</f>
        <v>TI-109</v>
      </c>
      <c r="G356" s="6">
        <v>120</v>
      </c>
      <c r="H356" s="6"/>
      <c r="I356" s="6" t="s">
        <v>29</v>
      </c>
      <c r="J356" s="6" t="s">
        <v>6</v>
      </c>
      <c r="K356" s="6">
        <v>1</v>
      </c>
      <c r="L356" s="6">
        <v>0</v>
      </c>
      <c r="M356" s="6">
        <f t="shared" si="6"/>
        <v>1</v>
      </c>
      <c r="N356" s="6" t="s">
        <v>1170</v>
      </c>
      <c r="O356" s="6" t="s">
        <v>1171</v>
      </c>
      <c r="P356" s="6"/>
      <c r="Q356" s="6"/>
      <c r="R356" s="6"/>
      <c r="S356" s="6" t="s">
        <v>8</v>
      </c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 t="s">
        <v>8</v>
      </c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 t="s">
        <v>8</v>
      </c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 t="s">
        <v>8</v>
      </c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 t="s">
        <v>8</v>
      </c>
      <c r="CC356" s="6"/>
      <c r="CD356" s="6"/>
      <c r="CE356" s="6" t="s">
        <v>8</v>
      </c>
      <c r="CF356" s="6"/>
      <c r="CG356" s="6"/>
      <c r="CH356" s="6" t="s">
        <v>8</v>
      </c>
      <c r="CI356" s="6"/>
      <c r="CJ356" s="6" t="s">
        <v>8</v>
      </c>
      <c r="CK356" s="6"/>
      <c r="CL356" s="6" t="s">
        <v>8</v>
      </c>
      <c r="CM356" s="6"/>
      <c r="CN356" s="6" t="s">
        <v>8</v>
      </c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 t="s">
        <v>8</v>
      </c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</row>
    <row r="357" spans="1:119" s="4" customFormat="1">
      <c r="A357" s="6" t="str">
        <f>HYPERLINK(".\links\pep\TI-106-pep.txt","TI-106")</f>
        <v>TI-106</v>
      </c>
      <c r="B357" s="6">
        <v>106</v>
      </c>
      <c r="C357" s="6" t="s">
        <v>14</v>
      </c>
      <c r="D357" s="6">
        <v>56</v>
      </c>
      <c r="E357" s="6">
        <v>0</v>
      </c>
      <c r="F357" s="6" t="str">
        <f>HYPERLINK(".\links\cds\TI-106-cds.txt","TI-106")</f>
        <v>TI-106</v>
      </c>
      <c r="G357" s="6">
        <v>171</v>
      </c>
      <c r="H357" s="6"/>
      <c r="I357" s="6" t="s">
        <v>8</v>
      </c>
      <c r="J357" s="6" t="s">
        <v>6</v>
      </c>
      <c r="K357" s="6">
        <v>1</v>
      </c>
      <c r="L357" s="6">
        <v>0</v>
      </c>
      <c r="M357" s="6">
        <f t="shared" si="6"/>
        <v>1</v>
      </c>
      <c r="N357" s="6" t="s">
        <v>1170</v>
      </c>
      <c r="O357" s="6" t="s">
        <v>1171</v>
      </c>
      <c r="P357" s="6"/>
      <c r="Q357" s="6"/>
      <c r="R357" s="6"/>
      <c r="S357" s="6" t="s">
        <v>8</v>
      </c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 t="s">
        <v>8</v>
      </c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 t="s">
        <v>8</v>
      </c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 t="s">
        <v>8</v>
      </c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 t="s">
        <v>8</v>
      </c>
      <c r="CC357" s="6"/>
      <c r="CD357" s="6"/>
      <c r="CE357" s="6" t="s">
        <v>8</v>
      </c>
      <c r="CF357" s="6"/>
      <c r="CG357" s="6"/>
      <c r="CH357" s="6" t="s">
        <v>8</v>
      </c>
      <c r="CI357" s="6"/>
      <c r="CJ357" s="6" t="s">
        <v>8</v>
      </c>
      <c r="CK357" s="6"/>
      <c r="CL357" s="6" t="s">
        <v>8</v>
      </c>
      <c r="CM357" s="6"/>
      <c r="CN357" s="6" t="s">
        <v>8</v>
      </c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 t="s">
        <v>8</v>
      </c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</row>
    <row r="358" spans="1:119" s="4" customFormat="1">
      <c r="A358" t="str">
        <f>HYPERLINK(".\links\pep\TI-105-pep.txt","TI-105")</f>
        <v>TI-105</v>
      </c>
      <c r="B358">
        <v>105</v>
      </c>
      <c r="C358" t="s">
        <v>13</v>
      </c>
      <c r="D358">
        <v>136</v>
      </c>
      <c r="E358">
        <v>0</v>
      </c>
      <c r="F358" t="str">
        <f>HYPERLINK(".\links\cds\TI-105-cds.txt","TI-105")</f>
        <v>TI-105</v>
      </c>
      <c r="G358">
        <v>411</v>
      </c>
      <c r="H358"/>
      <c r="I358" t="s">
        <v>8</v>
      </c>
      <c r="J358" t="s">
        <v>6</v>
      </c>
      <c r="K358">
        <v>1</v>
      </c>
      <c r="L358">
        <v>0</v>
      </c>
      <c r="M358">
        <f t="shared" si="6"/>
        <v>1</v>
      </c>
      <c r="N358" t="s">
        <v>1194</v>
      </c>
      <c r="O358" t="s">
        <v>1190</v>
      </c>
      <c r="P358" t="str">
        <f>HYPERLINK(".\links\GO\TI-105-GO.txt","GO")</f>
        <v>GO</v>
      </c>
      <c r="Q358" s="3">
        <v>9.9999999999999991E-22</v>
      </c>
      <c r="R358">
        <v>44</v>
      </c>
      <c r="S358" t="str">
        <f>HYPERLINK(".\links\NR-LIGHT\TI-105-NR-LIGHT.txt","hypothetical protein LOC551222")</f>
        <v>hypothetical protein LOC551222</v>
      </c>
      <c r="T358" t="str">
        <f>HYPERLINK("http://www.ncbi.nlm.nih.gov/sutils/blink.cgi?pid=328782154","3E-028")</f>
        <v>3E-028</v>
      </c>
      <c r="U358" t="str">
        <f>HYPERLINK("http://www.ncbi.nlm.nih.gov/protein/328782154","gi|328782154")</f>
        <v>gi|328782154</v>
      </c>
      <c r="V358">
        <v>125</v>
      </c>
      <c r="W358">
        <v>122</v>
      </c>
      <c r="X358">
        <v>268</v>
      </c>
      <c r="Y358">
        <v>47</v>
      </c>
      <c r="Z358">
        <v>46</v>
      </c>
      <c r="AA358">
        <v>67</v>
      </c>
      <c r="AB358">
        <v>7</v>
      </c>
      <c r="AC358">
        <v>1</v>
      </c>
      <c r="AD358">
        <v>9</v>
      </c>
      <c r="AE358">
        <v>1</v>
      </c>
      <c r="AF358"/>
      <c r="AG358" t="s">
        <v>13</v>
      </c>
      <c r="AH358" t="s">
        <v>51</v>
      </c>
      <c r="AI358" t="s">
        <v>83</v>
      </c>
      <c r="AJ358" t="str">
        <f>HYPERLINK(".\links\SWISSP\TI-105-SWISSP.txt","t-SNARE domain-containing protein 1 OS=Homo sapiens GN=TSNARE1 PE=2 SV=2")</f>
        <v>t-SNARE domain-containing protein 1 OS=Homo sapiens GN=TSNARE1 PE=2 SV=2</v>
      </c>
      <c r="AK358" t="str">
        <f>HYPERLINK("http://www.uniprot.org/uniprot/Q96NA8","2E-008")</f>
        <v>2E-008</v>
      </c>
      <c r="AL358" t="s">
        <v>138</v>
      </c>
      <c r="AM358">
        <v>58.2</v>
      </c>
      <c r="AN358">
        <v>123</v>
      </c>
      <c r="AO358">
        <v>513</v>
      </c>
      <c r="AP358">
        <v>24</v>
      </c>
      <c r="AQ358">
        <v>24</v>
      </c>
      <c r="AR358">
        <v>94</v>
      </c>
      <c r="AS358">
        <v>10</v>
      </c>
      <c r="AT358">
        <v>235</v>
      </c>
      <c r="AU358">
        <v>21</v>
      </c>
      <c r="AV358">
        <v>1</v>
      </c>
      <c r="AW358" t="s">
        <v>68</v>
      </c>
      <c r="AX358" t="str">
        <f>HYPERLINK(".\links\PREV-RHOD-PEP\TI-105-PREV-RHOD-PEP.txt","Contig17857_58")</f>
        <v>Contig17857_58</v>
      </c>
      <c r="AY358" s="3">
        <v>6E-68</v>
      </c>
      <c r="AZ358" t="s">
        <v>1054</v>
      </c>
      <c r="BA358">
        <v>251</v>
      </c>
      <c r="BB358">
        <v>129</v>
      </c>
      <c r="BC358">
        <v>259</v>
      </c>
      <c r="BD358">
        <v>94</v>
      </c>
      <c r="BE358">
        <v>50</v>
      </c>
      <c r="BF358">
        <v>7</v>
      </c>
      <c r="BG358">
        <v>0</v>
      </c>
      <c r="BH358">
        <v>1</v>
      </c>
      <c r="BI358">
        <v>5</v>
      </c>
      <c r="BJ358">
        <v>1</v>
      </c>
      <c r="BK358" t="s">
        <v>612</v>
      </c>
      <c r="BL358">
        <f>HYPERLINK(".\links\GO\TI-105-GO.txt",1E-21)</f>
        <v>9.9999999999999991E-22</v>
      </c>
      <c r="BM358" t="s">
        <v>590</v>
      </c>
      <c r="BN358" t="s">
        <v>340</v>
      </c>
      <c r="BO358" t="s">
        <v>341</v>
      </c>
      <c r="BP358" t="s">
        <v>591</v>
      </c>
      <c r="BQ358" s="3">
        <v>9.9999999999999991E-22</v>
      </c>
      <c r="BR358" t="s">
        <v>438</v>
      </c>
      <c r="BS358" t="s">
        <v>323</v>
      </c>
      <c r="BT358" t="s">
        <v>324</v>
      </c>
      <c r="BU358" t="s">
        <v>439</v>
      </c>
      <c r="BV358" s="3">
        <v>9.9999999999999991E-22</v>
      </c>
      <c r="BW358" t="s">
        <v>613</v>
      </c>
      <c r="BX358" t="s">
        <v>340</v>
      </c>
      <c r="BY358" t="s">
        <v>341</v>
      </c>
      <c r="BZ358" t="s">
        <v>614</v>
      </c>
      <c r="CA358" s="3">
        <v>9.9999999999999991E-22</v>
      </c>
      <c r="CB358" t="s">
        <v>8</v>
      </c>
      <c r="CC358"/>
      <c r="CD358"/>
      <c r="CE358" t="s">
        <v>8</v>
      </c>
      <c r="CF358"/>
      <c r="CG358"/>
      <c r="CH358" t="s">
        <v>8</v>
      </c>
      <c r="CI358"/>
      <c r="CJ358" t="s">
        <v>8</v>
      </c>
      <c r="CK358"/>
      <c r="CL358" t="s">
        <v>8</v>
      </c>
      <c r="CM358"/>
      <c r="CN358" t="s">
        <v>8</v>
      </c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 t="s">
        <v>8</v>
      </c>
      <c r="DC358"/>
      <c r="DD358"/>
      <c r="DE358"/>
      <c r="DF358"/>
      <c r="DG358"/>
      <c r="DH358"/>
      <c r="DI358"/>
      <c r="DJ358"/>
      <c r="DK358"/>
      <c r="DL358"/>
      <c r="DM358"/>
      <c r="DN358"/>
      <c r="DO358"/>
    </row>
    <row r="359" spans="1:119" s="4" customFormat="1">
      <c r="A359" s="6" t="str">
        <f>HYPERLINK(".\links\pep\TI-104-pep.txt","TI-104")</f>
        <v>TI-104</v>
      </c>
      <c r="B359" s="6">
        <v>104</v>
      </c>
      <c r="C359" s="6" t="s">
        <v>7</v>
      </c>
      <c r="D359" s="6">
        <v>32</v>
      </c>
      <c r="E359" s="6">
        <v>0</v>
      </c>
      <c r="F359" s="6" t="str">
        <f>HYPERLINK(".\links\cds\TI-104-cds.txt","TI-104")</f>
        <v>TI-104</v>
      </c>
      <c r="G359" s="6">
        <v>99</v>
      </c>
      <c r="H359" s="6"/>
      <c r="I359" s="6" t="s">
        <v>29</v>
      </c>
      <c r="J359" s="6" t="s">
        <v>6</v>
      </c>
      <c r="K359" s="6">
        <v>1</v>
      </c>
      <c r="L359" s="6">
        <v>0</v>
      </c>
      <c r="M359" s="6">
        <f t="shared" si="6"/>
        <v>1</v>
      </c>
      <c r="N359" s="6" t="s">
        <v>1170</v>
      </c>
      <c r="O359" s="6" t="s">
        <v>1171</v>
      </c>
      <c r="P359" s="6"/>
      <c r="Q359" s="6"/>
      <c r="R359" s="6"/>
      <c r="S359" s="6" t="s">
        <v>8</v>
      </c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 t="s">
        <v>8</v>
      </c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 t="s">
        <v>8</v>
      </c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 t="s">
        <v>8</v>
      </c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 t="s">
        <v>8</v>
      </c>
      <c r="CC359" s="6"/>
      <c r="CD359" s="6"/>
      <c r="CE359" s="6" t="s">
        <v>8</v>
      </c>
      <c r="CF359" s="6"/>
      <c r="CG359" s="6"/>
      <c r="CH359" s="6" t="s">
        <v>8</v>
      </c>
      <c r="CI359" s="6"/>
      <c r="CJ359" s="6" t="s">
        <v>8</v>
      </c>
      <c r="CK359" s="6"/>
      <c r="CL359" s="6" t="s">
        <v>8</v>
      </c>
      <c r="CM359" s="6"/>
      <c r="CN359" s="6" t="s">
        <v>8</v>
      </c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 t="s">
        <v>8</v>
      </c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</row>
    <row r="360" spans="1:119" s="4" customFormat="1">
      <c r="A360" s="6" t="str">
        <f>HYPERLINK(".\links\pep\TI-10-pep.txt","TI-10")</f>
        <v>TI-10</v>
      </c>
      <c r="B360" s="6">
        <v>10</v>
      </c>
      <c r="C360" s="6" t="s">
        <v>9</v>
      </c>
      <c r="D360" s="6">
        <v>36</v>
      </c>
      <c r="E360" s="6">
        <v>0</v>
      </c>
      <c r="F360" s="6" t="str">
        <f>HYPERLINK(".\links\cds\TI-10-cds.txt","TI-10")</f>
        <v>TI-10</v>
      </c>
      <c r="G360" s="6">
        <v>111</v>
      </c>
      <c r="H360" s="6"/>
      <c r="I360" s="6" t="s">
        <v>8</v>
      </c>
      <c r="J360" s="6" t="s">
        <v>6</v>
      </c>
      <c r="K360" s="6">
        <v>1</v>
      </c>
      <c r="L360" s="6">
        <v>0</v>
      </c>
      <c r="M360" s="6">
        <f t="shared" si="6"/>
        <v>1</v>
      </c>
      <c r="N360" s="6" t="s">
        <v>1170</v>
      </c>
      <c r="O360" s="6" t="s">
        <v>1171</v>
      </c>
      <c r="P360" s="6"/>
      <c r="Q360" s="6"/>
      <c r="R360" s="6"/>
      <c r="S360" s="6" t="str">
        <f>HYPERLINK(".\links\NR-LIGHT\TI-10-NR-LIGHT.txt","nonstructural protein precursor")</f>
        <v>nonstructural protein precursor</v>
      </c>
      <c r="T360" s="6" t="str">
        <f>HYPERLINK("http://www.ncbi.nlm.nih.gov/sutils/blink.cgi?pid=20451029","2E-008")</f>
        <v>2E-008</v>
      </c>
      <c r="U360" s="6" t="str">
        <f>HYPERLINK("http://www.ncbi.nlm.nih.gov/protein/20451029","gi|20451029")</f>
        <v>gi|20451029</v>
      </c>
      <c r="V360" s="6">
        <v>60.1</v>
      </c>
      <c r="W360" s="6">
        <v>33</v>
      </c>
      <c r="X360" s="6">
        <v>1795</v>
      </c>
      <c r="Y360" s="6">
        <v>79</v>
      </c>
      <c r="Z360" s="6">
        <v>2</v>
      </c>
      <c r="AA360" s="6">
        <v>7</v>
      </c>
      <c r="AB360" s="6">
        <v>0</v>
      </c>
      <c r="AC360" s="6">
        <v>973</v>
      </c>
      <c r="AD360" s="6">
        <v>1</v>
      </c>
      <c r="AE360" s="6">
        <v>1</v>
      </c>
      <c r="AF360" s="6"/>
      <c r="AG360" s="6" t="s">
        <v>13</v>
      </c>
      <c r="AH360" s="6" t="s">
        <v>51</v>
      </c>
      <c r="AI360" s="6" t="s">
        <v>269</v>
      </c>
      <c r="AJ360" s="6" t="s">
        <v>8</v>
      </c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 t="s">
        <v>8</v>
      </c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 t="s">
        <v>8</v>
      </c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 t="s">
        <v>8</v>
      </c>
      <c r="CC360" s="6"/>
      <c r="CD360" s="6"/>
      <c r="CE360" s="6" t="s">
        <v>8</v>
      </c>
      <c r="CF360" s="6"/>
      <c r="CG360" s="6"/>
      <c r="CH360" s="6" t="s">
        <v>8</v>
      </c>
      <c r="CI360" s="6"/>
      <c r="CJ360" s="6" t="s">
        <v>8</v>
      </c>
      <c r="CK360" s="6"/>
      <c r="CL360" s="6" t="s">
        <v>8</v>
      </c>
      <c r="CM360" s="6"/>
      <c r="CN360" s="6" t="s">
        <v>8</v>
      </c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 t="s">
        <v>8</v>
      </c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342" sqref="K342"/>
    </sheetView>
  </sheetViews>
  <sheetFormatPr defaultRowHeight="15"/>
  <cols>
    <col min="15" max="15" width="36.85546875" customWidth="1"/>
  </cols>
  <sheetData>
    <row r="1" spans="1:120" s="1" customFormat="1" ht="90">
      <c r="A1" s="1" t="s">
        <v>31</v>
      </c>
      <c r="B1" s="1" t="s">
        <v>32</v>
      </c>
      <c r="C1" s="1" t="s">
        <v>0</v>
      </c>
      <c r="D1" s="1" t="s">
        <v>1</v>
      </c>
      <c r="E1" s="1" t="s">
        <v>3</v>
      </c>
      <c r="F1" s="1" t="s">
        <v>30</v>
      </c>
      <c r="G1" s="1" t="s">
        <v>1</v>
      </c>
      <c r="H1" s="1" t="s">
        <v>4</v>
      </c>
      <c r="I1" s="1" t="s">
        <v>5</v>
      </c>
      <c r="J1" s="1" t="s">
        <v>6</v>
      </c>
      <c r="K1" s="1" t="s">
        <v>1164</v>
      </c>
      <c r="L1" s="1" t="s">
        <v>1165</v>
      </c>
      <c r="M1" s="1" t="s">
        <v>1362</v>
      </c>
      <c r="N1" s="1" t="s">
        <v>1166</v>
      </c>
      <c r="O1" s="1" t="s">
        <v>2</v>
      </c>
      <c r="P1" s="1" t="s">
        <v>1171</v>
      </c>
      <c r="Q1" s="1" t="s">
        <v>1244</v>
      </c>
      <c r="R1" s="1" t="s">
        <v>1245</v>
      </c>
      <c r="S1" s="1" t="s">
        <v>1246</v>
      </c>
      <c r="T1" s="1" t="s">
        <v>262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49</v>
      </c>
      <c r="AY1" s="1" t="s">
        <v>982</v>
      </c>
      <c r="AZ1" s="1" t="s">
        <v>34</v>
      </c>
      <c r="BA1" s="1" t="s">
        <v>35</v>
      </c>
      <c r="BB1" s="1" t="s">
        <v>36</v>
      </c>
      <c r="BC1" s="1" t="s">
        <v>37</v>
      </c>
      <c r="BD1" s="1" t="s">
        <v>38</v>
      </c>
      <c r="BE1" s="1" t="s">
        <v>39</v>
      </c>
      <c r="BF1" s="1" t="s">
        <v>40</v>
      </c>
      <c r="BG1" s="1" t="s">
        <v>41</v>
      </c>
      <c r="BH1" s="1" t="s">
        <v>42</v>
      </c>
      <c r="BI1" s="1" t="s">
        <v>43</v>
      </c>
      <c r="BJ1" s="1" t="s">
        <v>44</v>
      </c>
      <c r="BK1" s="1" t="s">
        <v>45</v>
      </c>
      <c r="BL1" s="1" t="s">
        <v>303</v>
      </c>
      <c r="BM1" s="1" t="s">
        <v>34</v>
      </c>
      <c r="BN1" s="1" t="s">
        <v>304</v>
      </c>
      <c r="BO1" s="1" t="s">
        <v>305</v>
      </c>
      <c r="BP1" s="1" t="s">
        <v>306</v>
      </c>
      <c r="BQ1" s="1" t="s">
        <v>307</v>
      </c>
      <c r="BR1" s="1" t="s">
        <v>308</v>
      </c>
      <c r="BS1" s="1" t="s">
        <v>309</v>
      </c>
      <c r="BT1" s="1" t="s">
        <v>310</v>
      </c>
      <c r="BU1" s="1" t="s">
        <v>311</v>
      </c>
      <c r="BV1" s="1" t="s">
        <v>307</v>
      </c>
      <c r="BW1" s="1" t="s">
        <v>312</v>
      </c>
      <c r="BX1" s="1" t="s">
        <v>313</v>
      </c>
      <c r="BY1" s="1" t="s">
        <v>314</v>
      </c>
      <c r="BZ1" s="1" t="s">
        <v>315</v>
      </c>
      <c r="CA1" s="1" t="s">
        <v>307</v>
      </c>
      <c r="CB1" s="1" t="s">
        <v>316</v>
      </c>
      <c r="CC1" s="1" t="s">
        <v>970</v>
      </c>
      <c r="CD1" s="1" t="s">
        <v>34</v>
      </c>
      <c r="CE1" s="1" t="s">
        <v>971</v>
      </c>
      <c r="CF1" s="1" t="s">
        <v>973</v>
      </c>
      <c r="CG1" s="1" t="s">
        <v>34</v>
      </c>
      <c r="CH1" s="1" t="s">
        <v>974</v>
      </c>
      <c r="CI1" s="1" t="s">
        <v>976</v>
      </c>
      <c r="CJ1" s="1" t="s">
        <v>34</v>
      </c>
      <c r="CK1" s="1" t="s">
        <v>977</v>
      </c>
      <c r="CL1" s="1" t="s">
        <v>34</v>
      </c>
      <c r="CM1" s="1" t="s">
        <v>978</v>
      </c>
      <c r="CN1" s="1" t="s">
        <v>34</v>
      </c>
      <c r="CO1" s="1" t="s">
        <v>979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1" t="s">
        <v>43</v>
      </c>
      <c r="CZ1" s="1" t="s">
        <v>44</v>
      </c>
      <c r="DA1" s="1" t="s">
        <v>45</v>
      </c>
      <c r="DB1" s="1" t="s">
        <v>48</v>
      </c>
      <c r="DC1" s="1" t="s">
        <v>980</v>
      </c>
      <c r="DD1" s="1" t="s">
        <v>34</v>
      </c>
      <c r="DE1" s="1" t="s">
        <v>35</v>
      </c>
      <c r="DF1" s="1" t="s">
        <v>36</v>
      </c>
      <c r="DG1" s="1" t="s">
        <v>37</v>
      </c>
      <c r="DH1" s="1" t="s">
        <v>38</v>
      </c>
      <c r="DI1" s="1" t="s">
        <v>39</v>
      </c>
      <c r="DJ1" s="1" t="s">
        <v>40</v>
      </c>
      <c r="DK1" s="1" t="s">
        <v>41</v>
      </c>
      <c r="DL1" s="1" t="s">
        <v>42</v>
      </c>
      <c r="DM1" s="1" t="s">
        <v>43</v>
      </c>
      <c r="DN1" s="1" t="s">
        <v>44</v>
      </c>
      <c r="DO1" s="1" t="s">
        <v>45</v>
      </c>
      <c r="DP1" s="1" t="s">
        <v>48</v>
      </c>
    </row>
    <row r="2" spans="1:120">
      <c r="A2" t="str">
        <f>HYPERLINK(".\links\pep\TI-2-pep.txt","TI-2")</f>
        <v>TI-2</v>
      </c>
      <c r="B2">
        <v>2</v>
      </c>
      <c r="C2" t="s">
        <v>23</v>
      </c>
      <c r="D2">
        <v>130</v>
      </c>
      <c r="E2" s="2">
        <v>3.0769229999999999</v>
      </c>
      <c r="F2" t="str">
        <f>HYPERLINK(".\links\cds\TI-2-cds.txt","TI-2")</f>
        <v>TI-2</v>
      </c>
      <c r="G2">
        <v>393</v>
      </c>
      <c r="I2" t="s">
        <v>8</v>
      </c>
      <c r="J2" t="s">
        <v>6</v>
      </c>
      <c r="K2">
        <v>1</v>
      </c>
      <c r="L2">
        <v>0</v>
      </c>
      <c r="M2">
        <f t="shared" ref="M2:M40" si="0">K2-L2</f>
        <v>1</v>
      </c>
      <c r="N2">
        <f t="shared" ref="N2:N40" si="1">ABS(K2-L2)</f>
        <v>1</v>
      </c>
      <c r="O2" t="s">
        <v>1247</v>
      </c>
      <c r="P2" t="s">
        <v>1169</v>
      </c>
      <c r="Q2" t="str">
        <f>HYPERLINK(".\links\NR-LIGHT\TI-2-NR-LIGHT.txt","NR-LIGHT")</f>
        <v>NR-LIGHT</v>
      </c>
      <c r="R2" s="3">
        <v>1.9999999999999998E-24</v>
      </c>
      <c r="S2">
        <v>41.7</v>
      </c>
      <c r="T2" t="str">
        <f>HYPERLINK(".\links\NR-LIGHT\TI-2-NR-LIGHT.txt","ribosomal protein L6")</f>
        <v>ribosomal protein L6</v>
      </c>
      <c r="U2" t="str">
        <f>HYPERLINK("http://www.ncbi.nlm.nih.gov/sutils/blink.cgi?pid=253683402","2E-024")</f>
        <v>2E-024</v>
      </c>
      <c r="V2" t="str">
        <f>HYPERLINK("http://www.ncbi.nlm.nih.gov/protein/253683402","gi|253683402")</f>
        <v>gi|253683402</v>
      </c>
      <c r="W2">
        <v>113</v>
      </c>
      <c r="X2">
        <v>113</v>
      </c>
      <c r="Y2">
        <v>273</v>
      </c>
      <c r="Z2">
        <v>49</v>
      </c>
      <c r="AA2">
        <v>42</v>
      </c>
      <c r="AB2">
        <v>58</v>
      </c>
      <c r="AC2">
        <v>0</v>
      </c>
      <c r="AD2">
        <v>160</v>
      </c>
      <c r="AE2">
        <v>17</v>
      </c>
      <c r="AF2">
        <v>1</v>
      </c>
      <c r="AH2" t="s">
        <v>13</v>
      </c>
      <c r="AI2" t="s">
        <v>51</v>
      </c>
      <c r="AJ2" t="s">
        <v>274</v>
      </c>
      <c r="AK2" t="str">
        <f>HYPERLINK(".\links\SWISSP\TI-2-SWISSP.txt","60S ribosomal protein L6 OS=Chinchilla lanigera GN=RPL6 PE=2 SV=3")</f>
        <v>60S ribosomal protein L6 OS=Chinchilla lanigera GN=RPL6 PE=2 SV=3</v>
      </c>
      <c r="AL2" t="str">
        <f>HYPERLINK("http://www.uniprot.org/uniprot/Q6QMZ4","3E-016")</f>
        <v>3E-016</v>
      </c>
      <c r="AM2" t="s">
        <v>88</v>
      </c>
      <c r="AN2">
        <v>84</v>
      </c>
      <c r="AO2">
        <v>110</v>
      </c>
      <c r="AP2">
        <v>288</v>
      </c>
      <c r="AQ2">
        <v>38</v>
      </c>
      <c r="AR2">
        <v>39</v>
      </c>
      <c r="AS2">
        <v>70</v>
      </c>
      <c r="AT2">
        <v>3</v>
      </c>
      <c r="AU2">
        <v>178</v>
      </c>
      <c r="AV2">
        <v>17</v>
      </c>
      <c r="AW2">
        <v>1</v>
      </c>
      <c r="AX2" t="s">
        <v>89</v>
      </c>
      <c r="AY2" t="str">
        <f>HYPERLINK(".\links\PREV-RHOD-PEP\TI-2-PREV-RHOD-PEP.txt","Contig17971_343")</f>
        <v>Contig17971_343</v>
      </c>
      <c r="AZ2" s="3">
        <v>7.9999999999999999E-45</v>
      </c>
      <c r="BA2" t="s">
        <v>1009</v>
      </c>
      <c r="BB2">
        <v>174</v>
      </c>
      <c r="BC2">
        <v>113</v>
      </c>
      <c r="BD2">
        <v>285</v>
      </c>
      <c r="BE2">
        <v>73</v>
      </c>
      <c r="BF2">
        <v>40</v>
      </c>
      <c r="BG2">
        <v>30</v>
      </c>
      <c r="BH2">
        <v>0</v>
      </c>
      <c r="BI2">
        <v>172</v>
      </c>
      <c r="BJ2">
        <v>17</v>
      </c>
      <c r="BK2">
        <v>1</v>
      </c>
      <c r="BL2" t="s">
        <v>451</v>
      </c>
      <c r="BM2">
        <f>HYPERLINK(".\links\GO\TI-2-GO.txt",1E-20)</f>
        <v>9.9999999999999995E-21</v>
      </c>
      <c r="BN2" t="s">
        <v>373</v>
      </c>
      <c r="BO2" t="s">
        <v>373</v>
      </c>
      <c r="BQ2" t="s">
        <v>374</v>
      </c>
      <c r="BR2">
        <v>1.0000000000000001E-15</v>
      </c>
      <c r="BS2" t="s">
        <v>356</v>
      </c>
      <c r="BT2" t="s">
        <v>323</v>
      </c>
      <c r="BU2" t="s">
        <v>334</v>
      </c>
      <c r="BV2" t="s">
        <v>357</v>
      </c>
      <c r="BW2">
        <v>1.0000000000000001E-15</v>
      </c>
      <c r="BX2" t="s">
        <v>380</v>
      </c>
      <c r="BY2" t="s">
        <v>373</v>
      </c>
      <c r="CA2" t="s">
        <v>381</v>
      </c>
      <c r="CB2">
        <v>1.0000000000000001E-15</v>
      </c>
      <c r="CC2" t="s">
        <v>8</v>
      </c>
      <c r="CF2" t="s">
        <v>8</v>
      </c>
      <c r="CI2" t="s">
        <v>8</v>
      </c>
      <c r="CK2" t="s">
        <v>8</v>
      </c>
      <c r="CM2" t="s">
        <v>8</v>
      </c>
      <c r="CO2" t="s">
        <v>8</v>
      </c>
      <c r="DC2" t="s">
        <v>8</v>
      </c>
    </row>
    <row r="3" spans="1:120">
      <c r="A3" t="str">
        <f>HYPERLINK(".\links\pep\TI-5-pep.txt","TI-5")</f>
        <v>TI-5</v>
      </c>
      <c r="B3">
        <v>5</v>
      </c>
      <c r="C3" t="s">
        <v>13</v>
      </c>
      <c r="D3">
        <v>236</v>
      </c>
      <c r="E3">
        <v>0</v>
      </c>
      <c r="F3" t="str">
        <f>HYPERLINK(".\links\cds\TI-5-cds.txt","TI-5")</f>
        <v>TI-5</v>
      </c>
      <c r="G3">
        <v>706</v>
      </c>
      <c r="I3" t="s">
        <v>8</v>
      </c>
      <c r="J3" t="s">
        <v>8</v>
      </c>
      <c r="K3">
        <v>3</v>
      </c>
      <c r="L3">
        <v>0</v>
      </c>
      <c r="M3">
        <f t="shared" si="0"/>
        <v>3</v>
      </c>
      <c r="N3">
        <f t="shared" si="1"/>
        <v>3</v>
      </c>
      <c r="O3" t="s">
        <v>1248</v>
      </c>
      <c r="P3" t="s">
        <v>1172</v>
      </c>
      <c r="Q3" t="str">
        <f>HYPERLINK(".\links\SWISSP\TI-5-SWISSP.txt","SWISSP")</f>
        <v>SWISSP</v>
      </c>
      <c r="R3" s="3">
        <v>1.9999999999999999E-29</v>
      </c>
      <c r="S3">
        <v>30.1</v>
      </c>
      <c r="T3" t="str">
        <f>HYPERLINK(".\links\NR-LIGHT\TI-5-NR-LIGHT.txt","hypothetical protein TcasGA2_TC001323")</f>
        <v>hypothetical protein TcasGA2_TC001323</v>
      </c>
      <c r="U3" t="str">
        <f>HYPERLINK("http://www.ncbi.nlm.nih.gov/sutils/blink.cgi?pid=270002312","5E-048")</f>
        <v>5E-048</v>
      </c>
      <c r="V3" t="str">
        <f>HYPERLINK("http://www.ncbi.nlm.nih.gov/protein/270002312","gi|270002312")</f>
        <v>gi|270002312</v>
      </c>
      <c r="W3">
        <v>193</v>
      </c>
      <c r="X3">
        <v>200</v>
      </c>
      <c r="Y3">
        <v>753</v>
      </c>
      <c r="Z3">
        <v>45</v>
      </c>
      <c r="AA3">
        <v>27</v>
      </c>
      <c r="AB3">
        <v>112</v>
      </c>
      <c r="AC3">
        <v>5</v>
      </c>
      <c r="AD3">
        <v>386</v>
      </c>
      <c r="AE3">
        <v>31</v>
      </c>
      <c r="AF3">
        <v>1</v>
      </c>
      <c r="AH3" t="s">
        <v>13</v>
      </c>
      <c r="AI3" t="s">
        <v>51</v>
      </c>
      <c r="AJ3" t="s">
        <v>266</v>
      </c>
      <c r="AK3" t="str">
        <f>HYPERLINK(".\links\SWISSP\TI-5-SWISSP.txt","CTL-like protein 2 OS=Anopheles gambiae GN=AGAP010343 PE=3 SV=4")</f>
        <v>CTL-like protein 2 OS=Anopheles gambiae GN=AGAP010343 PE=3 SV=4</v>
      </c>
      <c r="AL3" t="str">
        <f>HYPERLINK("http://www.uniprot.org/uniprot/Q7PRJ0","4E-043")</f>
        <v>4E-043</v>
      </c>
      <c r="AM3" t="s">
        <v>109</v>
      </c>
      <c r="AN3">
        <v>174</v>
      </c>
      <c r="AO3">
        <v>207</v>
      </c>
      <c r="AP3">
        <v>790</v>
      </c>
      <c r="AQ3">
        <v>43</v>
      </c>
      <c r="AR3">
        <v>26</v>
      </c>
      <c r="AS3">
        <v>120</v>
      </c>
      <c r="AT3">
        <v>8</v>
      </c>
      <c r="AU3">
        <v>421</v>
      </c>
      <c r="AV3">
        <v>31</v>
      </c>
      <c r="AW3">
        <v>1</v>
      </c>
      <c r="AX3" t="s">
        <v>110</v>
      </c>
      <c r="AY3" t="str">
        <f>HYPERLINK(".\links\PREV-RHOD-PEP\TI-5-PREV-RHOD-PEP.txt","Contig17825_23")</f>
        <v>Contig17825_23</v>
      </c>
      <c r="AZ3" s="3">
        <v>9.9999999999999999E-93</v>
      </c>
      <c r="BA3" t="s">
        <v>1025</v>
      </c>
      <c r="BB3">
        <v>335</v>
      </c>
      <c r="BC3">
        <v>243</v>
      </c>
      <c r="BD3">
        <v>684</v>
      </c>
      <c r="BE3">
        <v>66</v>
      </c>
      <c r="BF3">
        <v>36</v>
      </c>
      <c r="BG3">
        <v>81</v>
      </c>
      <c r="BH3">
        <v>8</v>
      </c>
      <c r="BI3">
        <v>288</v>
      </c>
      <c r="BJ3">
        <v>1</v>
      </c>
      <c r="BK3">
        <v>1</v>
      </c>
      <c r="BL3" t="s">
        <v>517</v>
      </c>
      <c r="BM3">
        <f>HYPERLINK(".\links\GO\TI-5-GO.txt",2E-24)</f>
        <v>1.9999999999999998E-24</v>
      </c>
      <c r="BN3" t="s">
        <v>518</v>
      </c>
      <c r="BO3" t="s">
        <v>319</v>
      </c>
      <c r="BP3" t="s">
        <v>320</v>
      </c>
      <c r="BQ3" t="s">
        <v>519</v>
      </c>
      <c r="BR3">
        <v>7.0000000000000005E-8</v>
      </c>
      <c r="BS3" t="s">
        <v>322</v>
      </c>
      <c r="BT3" t="s">
        <v>323</v>
      </c>
      <c r="BU3" t="s">
        <v>324</v>
      </c>
      <c r="BV3" t="s">
        <v>325</v>
      </c>
      <c r="BW3">
        <v>7.0000000000000005E-8</v>
      </c>
      <c r="BX3" t="s">
        <v>520</v>
      </c>
      <c r="BY3" t="s">
        <v>319</v>
      </c>
      <c r="BZ3" t="s">
        <v>320</v>
      </c>
      <c r="CA3" t="s">
        <v>521</v>
      </c>
      <c r="CB3">
        <v>7.0000000000000005E-8</v>
      </c>
      <c r="CC3" t="s">
        <v>8</v>
      </c>
      <c r="CF3" t="s">
        <v>8</v>
      </c>
      <c r="CI3" t="s">
        <v>8</v>
      </c>
      <c r="CK3" t="s">
        <v>8</v>
      </c>
      <c r="CM3" t="s">
        <v>8</v>
      </c>
      <c r="CO3" t="s">
        <v>8</v>
      </c>
      <c r="DC3" t="s">
        <v>8</v>
      </c>
    </row>
    <row r="4" spans="1:120" s="6" customFormat="1">
      <c r="A4" s="6" t="str">
        <f>HYPERLINK(".\links\pep\TI-6-pep.txt","TI-6")</f>
        <v>TI-6</v>
      </c>
      <c r="B4" s="6">
        <v>6</v>
      </c>
      <c r="C4" s="6" t="s">
        <v>10</v>
      </c>
      <c r="D4" s="6">
        <v>77</v>
      </c>
      <c r="E4" s="6">
        <v>0</v>
      </c>
      <c r="F4" s="6" t="str">
        <f>HYPERLINK(".\links\cds\TI-6-cds.txt","TI-6")</f>
        <v>TI-6</v>
      </c>
      <c r="G4" s="6">
        <v>234</v>
      </c>
      <c r="I4" s="6" t="s">
        <v>8</v>
      </c>
      <c r="J4" s="6" t="s">
        <v>6</v>
      </c>
      <c r="K4" s="6">
        <v>1</v>
      </c>
      <c r="L4" s="6">
        <v>0</v>
      </c>
      <c r="M4" s="6">
        <f t="shared" si="0"/>
        <v>1</v>
      </c>
      <c r="N4" s="6">
        <f t="shared" si="1"/>
        <v>1</v>
      </c>
      <c r="O4" s="6" t="s">
        <v>1170</v>
      </c>
      <c r="P4" s="6" t="s">
        <v>1171</v>
      </c>
      <c r="T4" s="6" t="s">
        <v>8</v>
      </c>
      <c r="AK4" s="6" t="s">
        <v>8</v>
      </c>
      <c r="AY4" s="6" t="s">
        <v>8</v>
      </c>
      <c r="BL4" s="6" t="s">
        <v>8</v>
      </c>
      <c r="CC4" s="6" t="s">
        <v>8</v>
      </c>
      <c r="CF4" s="6" t="s">
        <v>8</v>
      </c>
      <c r="CI4" s="6" t="s">
        <v>8</v>
      </c>
      <c r="CK4" s="6" t="s">
        <v>8</v>
      </c>
      <c r="CM4" s="6" t="s">
        <v>8</v>
      </c>
      <c r="CO4" s="6" t="s">
        <v>8</v>
      </c>
      <c r="DC4" s="6" t="s">
        <v>8</v>
      </c>
    </row>
    <row r="5" spans="1:120" s="6" customFormat="1">
      <c r="A5" t="str">
        <f>HYPERLINK(".\links\pep\TI-8-pep.txt","TI-8")</f>
        <v>TI-8</v>
      </c>
      <c r="B5">
        <v>8</v>
      </c>
      <c r="C5" t="s">
        <v>14</v>
      </c>
      <c r="D5">
        <v>191</v>
      </c>
      <c r="E5">
        <v>0</v>
      </c>
      <c r="F5" t="str">
        <f>HYPERLINK(".\links\cds\TI-8-cds.txt","TI-8")</f>
        <v>TI-8</v>
      </c>
      <c r="G5">
        <v>576</v>
      </c>
      <c r="H5"/>
      <c r="I5" t="s">
        <v>8</v>
      </c>
      <c r="J5" t="s">
        <v>6</v>
      </c>
      <c r="K5">
        <v>0</v>
      </c>
      <c r="L5">
        <v>1</v>
      </c>
      <c r="M5">
        <f t="shared" si="0"/>
        <v>-1</v>
      </c>
      <c r="N5">
        <f t="shared" si="1"/>
        <v>1</v>
      </c>
      <c r="O5" t="s">
        <v>1249</v>
      </c>
      <c r="P5" t="s">
        <v>1173</v>
      </c>
      <c r="Q5" t="str">
        <f>HYPERLINK(".\links\SWISSP\TI-8-SWISSP.txt","SWISSP")</f>
        <v>SWISSP</v>
      </c>
      <c r="R5" s="3">
        <v>5.9999999999999998E-35</v>
      </c>
      <c r="S5">
        <v>74</v>
      </c>
      <c r="T5" t="str">
        <f>HYPERLINK(".\links\NR-LIGHT\TI-8-NR-LIGHT.txt","ptpla domain protein")</f>
        <v>ptpla domain protein</v>
      </c>
      <c r="U5" t="str">
        <f>HYPERLINK("http://www.ncbi.nlm.nih.gov/sutils/blink.cgi?pid=170050795","3E-049")</f>
        <v>3E-049</v>
      </c>
      <c r="V5" t="str">
        <f>HYPERLINK("http://www.ncbi.nlm.nih.gov/protein/170050795","gi|170050795")</f>
        <v>gi|170050795</v>
      </c>
      <c r="W5">
        <v>196</v>
      </c>
      <c r="X5">
        <v>182</v>
      </c>
      <c r="Y5">
        <v>232</v>
      </c>
      <c r="Z5">
        <v>54</v>
      </c>
      <c r="AA5">
        <v>79</v>
      </c>
      <c r="AB5">
        <v>84</v>
      </c>
      <c r="AC5">
        <v>0</v>
      </c>
      <c r="AD5">
        <v>44</v>
      </c>
      <c r="AE5">
        <v>9</v>
      </c>
      <c r="AF5">
        <v>1</v>
      </c>
      <c r="AG5"/>
      <c r="AH5" t="s">
        <v>13</v>
      </c>
      <c r="AI5" t="s">
        <v>51</v>
      </c>
      <c r="AJ5" t="s">
        <v>263</v>
      </c>
      <c r="AK5" t="str">
        <f>HYPERLINK(".\links\SWISSP\TI-8-SWISSP.txt","3-hydroxyacyl-CoA dehydratase 2 OS=Bos taurus GN=PTPLB PE=2 SV=2")</f>
        <v>3-hydroxyacyl-CoA dehydratase 2 OS=Bos taurus GN=PTPLB PE=2 SV=2</v>
      </c>
      <c r="AL5" t="str">
        <f>HYPERLINK("http://www.uniprot.org/uniprot/Q2KIP8","6E-035")</f>
        <v>6E-035</v>
      </c>
      <c r="AM5" t="s">
        <v>111</v>
      </c>
      <c r="AN5">
        <v>146</v>
      </c>
      <c r="AO5">
        <v>187</v>
      </c>
      <c r="AP5">
        <v>254</v>
      </c>
      <c r="AQ5">
        <v>40</v>
      </c>
      <c r="AR5">
        <v>74</v>
      </c>
      <c r="AS5">
        <v>112</v>
      </c>
      <c r="AT5">
        <v>0</v>
      </c>
      <c r="AU5">
        <v>64</v>
      </c>
      <c r="AV5">
        <v>2</v>
      </c>
      <c r="AW5">
        <v>1</v>
      </c>
      <c r="AX5" t="s">
        <v>64</v>
      </c>
      <c r="AY5" t="str">
        <f>HYPERLINK(".\links\PREV-RHOD-PEP\TI-8-PREV-RHOD-PEP.txt","Contig17896_130")</f>
        <v>Contig17896_130</v>
      </c>
      <c r="AZ5" s="3">
        <v>6.0000000000000003E-87</v>
      </c>
      <c r="BA5" t="s">
        <v>1026</v>
      </c>
      <c r="BB5">
        <v>315</v>
      </c>
      <c r="BC5">
        <v>190</v>
      </c>
      <c r="BD5">
        <v>238</v>
      </c>
      <c r="BE5">
        <v>78</v>
      </c>
      <c r="BF5">
        <v>80</v>
      </c>
      <c r="BG5">
        <v>41</v>
      </c>
      <c r="BH5">
        <v>0</v>
      </c>
      <c r="BI5">
        <v>45</v>
      </c>
      <c r="BJ5">
        <v>1</v>
      </c>
      <c r="BK5">
        <v>1</v>
      </c>
      <c r="BL5" t="s">
        <v>522</v>
      </c>
      <c r="BM5">
        <f>HYPERLINK(".\links\GO\TI-8-GO.txt",3E-38)</f>
        <v>2.9999999999999999E-38</v>
      </c>
      <c r="BN5" t="s">
        <v>373</v>
      </c>
      <c r="BO5" t="s">
        <v>373</v>
      </c>
      <c r="BP5"/>
      <c r="BQ5" t="s">
        <v>374</v>
      </c>
      <c r="BR5" s="3">
        <v>2.9999999999999999E-35</v>
      </c>
      <c r="BS5" t="s">
        <v>375</v>
      </c>
      <c r="BT5" t="s">
        <v>375</v>
      </c>
      <c r="BU5"/>
      <c r="BV5" t="s">
        <v>376</v>
      </c>
      <c r="BW5" s="3">
        <v>2.9999999999999999E-35</v>
      </c>
      <c r="BX5" t="s">
        <v>380</v>
      </c>
      <c r="BY5" t="s">
        <v>373</v>
      </c>
      <c r="BZ5"/>
      <c r="CA5" t="s">
        <v>381</v>
      </c>
      <c r="CB5" s="3">
        <v>2.9999999999999999E-35</v>
      </c>
      <c r="CC5" t="s">
        <v>8</v>
      </c>
      <c r="CD5"/>
      <c r="CE5"/>
      <c r="CF5" t="s">
        <v>8</v>
      </c>
      <c r="CG5"/>
      <c r="CH5"/>
      <c r="CI5" t="s">
        <v>8</v>
      </c>
      <c r="CJ5"/>
      <c r="CK5" t="s">
        <v>8</v>
      </c>
      <c r="CL5"/>
      <c r="CM5" t="s">
        <v>8</v>
      </c>
      <c r="CN5"/>
      <c r="CO5" t="s">
        <v>8</v>
      </c>
      <c r="CP5"/>
      <c r="CQ5"/>
      <c r="CR5"/>
      <c r="CS5"/>
      <c r="CT5"/>
      <c r="CU5"/>
      <c r="CV5"/>
      <c r="CW5"/>
      <c r="CX5"/>
      <c r="CY5"/>
      <c r="CZ5"/>
      <c r="DA5"/>
      <c r="DB5"/>
      <c r="DC5" t="s">
        <v>8</v>
      </c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 s="6" customFormat="1">
      <c r="A6" t="str">
        <f>HYPERLINK(".\links\pep\TI-9-pep.txt","TI-9")</f>
        <v>TI-9</v>
      </c>
      <c r="B6">
        <v>9</v>
      </c>
      <c r="C6" t="s">
        <v>7</v>
      </c>
      <c r="D6">
        <v>209</v>
      </c>
      <c r="E6">
        <v>0</v>
      </c>
      <c r="F6" t="str">
        <f>HYPERLINK(".\links\cds\TI-9-cds.txt","TI-9")</f>
        <v>TI-9</v>
      </c>
      <c r="G6">
        <v>625</v>
      </c>
      <c r="H6"/>
      <c r="I6" t="s">
        <v>29</v>
      </c>
      <c r="J6" t="s">
        <v>8</v>
      </c>
      <c r="K6">
        <v>0</v>
      </c>
      <c r="L6">
        <v>1</v>
      </c>
      <c r="M6">
        <f t="shared" si="0"/>
        <v>-1</v>
      </c>
      <c r="N6">
        <f t="shared" si="1"/>
        <v>1</v>
      </c>
      <c r="O6" t="s">
        <v>1250</v>
      </c>
      <c r="P6" t="s">
        <v>1178</v>
      </c>
      <c r="Q6" t="str">
        <f>HYPERLINK(".\links\NR-LIGHT\TI-9-NR-LIGHT.txt","NR-LIGHT")</f>
        <v>NR-LIGHT</v>
      </c>
      <c r="R6" s="3">
        <v>1E-89</v>
      </c>
      <c r="S6">
        <v>54.8</v>
      </c>
      <c r="T6" t="str">
        <f>HYPERLINK(".\links\NR-LIGHT\TI-9-NR-LIGHT.txt","4-hydroxyphenylpyruvate dioxygenase")</f>
        <v>4-hydroxyphenylpyruvate dioxygenase</v>
      </c>
      <c r="U6" t="str">
        <f>HYPERLINK("http://www.ncbi.nlm.nih.gov/sutils/blink.cgi?pid=157105932","1E-089")</f>
        <v>1E-089</v>
      </c>
      <c r="V6" t="str">
        <f>HYPERLINK("http://www.ncbi.nlm.nih.gov/protein/157105932","gi|157105932")</f>
        <v>gi|157105932</v>
      </c>
      <c r="W6">
        <v>331</v>
      </c>
      <c r="X6">
        <v>208</v>
      </c>
      <c r="Y6">
        <v>381</v>
      </c>
      <c r="Z6">
        <v>73</v>
      </c>
      <c r="AA6">
        <v>55</v>
      </c>
      <c r="AB6">
        <v>56</v>
      </c>
      <c r="AC6">
        <v>0</v>
      </c>
      <c r="AD6">
        <v>1</v>
      </c>
      <c r="AE6">
        <v>1</v>
      </c>
      <c r="AF6">
        <v>1</v>
      </c>
      <c r="AG6"/>
      <c r="AH6" t="s">
        <v>13</v>
      </c>
      <c r="AI6" t="s">
        <v>51</v>
      </c>
      <c r="AJ6" t="s">
        <v>76</v>
      </c>
      <c r="AK6" t="str">
        <f>HYPERLINK(".\links\SWISSP\TI-9-SWISSP.txt","4-hydroxyphenylpyruvate dioxygenase OS=Rattus norvegicus GN=Hpd PE=1 SV=3")</f>
        <v>4-hydroxyphenylpyruvate dioxygenase OS=Rattus norvegicus GN=Hpd PE=1 SV=3</v>
      </c>
      <c r="AL6" t="str">
        <f>HYPERLINK("http://www.uniprot.org/uniprot/P32755","2E-071")</f>
        <v>2E-071</v>
      </c>
      <c r="AM6" t="s">
        <v>112</v>
      </c>
      <c r="AN6">
        <v>268</v>
      </c>
      <c r="AO6">
        <v>208</v>
      </c>
      <c r="AP6">
        <v>393</v>
      </c>
      <c r="AQ6">
        <v>59</v>
      </c>
      <c r="AR6">
        <v>53</v>
      </c>
      <c r="AS6">
        <v>85</v>
      </c>
      <c r="AT6">
        <v>0</v>
      </c>
      <c r="AU6">
        <v>1</v>
      </c>
      <c r="AV6">
        <v>1</v>
      </c>
      <c r="AW6">
        <v>1</v>
      </c>
      <c r="AX6" t="s">
        <v>74</v>
      </c>
      <c r="AY6" t="str">
        <f>HYPERLINK(".\links\PREV-RHOD-PEP\TI-9-PREV-RHOD-PEP.txt","Contig18037_18")</f>
        <v>Contig18037_18</v>
      </c>
      <c r="AZ6" s="3">
        <v>2.0000000000000002E-86</v>
      </c>
      <c r="BA6" t="s">
        <v>1027</v>
      </c>
      <c r="BB6">
        <v>314</v>
      </c>
      <c r="BC6">
        <v>172</v>
      </c>
      <c r="BD6">
        <v>440</v>
      </c>
      <c r="BE6">
        <v>74</v>
      </c>
      <c r="BF6">
        <v>39</v>
      </c>
      <c r="BG6">
        <v>54</v>
      </c>
      <c r="BH6">
        <v>35</v>
      </c>
      <c r="BI6">
        <v>175</v>
      </c>
      <c r="BJ6">
        <v>2</v>
      </c>
      <c r="BK6">
        <v>1</v>
      </c>
      <c r="BL6" t="s">
        <v>523</v>
      </c>
      <c r="BM6">
        <f>HYPERLINK(".\links\GO\TI-9-GO.txt",4E-79)</f>
        <v>4E-79</v>
      </c>
      <c r="BN6" t="s">
        <v>524</v>
      </c>
      <c r="BO6" t="s">
        <v>345</v>
      </c>
      <c r="BP6" t="s">
        <v>368</v>
      </c>
      <c r="BQ6" t="s">
        <v>525</v>
      </c>
      <c r="BR6" s="3">
        <v>6.0000000000000003E-72</v>
      </c>
      <c r="BS6" t="s">
        <v>526</v>
      </c>
      <c r="BT6" t="s">
        <v>323</v>
      </c>
      <c r="BU6" t="s">
        <v>334</v>
      </c>
      <c r="BV6" t="s">
        <v>527</v>
      </c>
      <c r="BW6" s="3">
        <v>6.0000000000000003E-72</v>
      </c>
      <c r="BX6" t="s">
        <v>528</v>
      </c>
      <c r="BY6" t="s">
        <v>345</v>
      </c>
      <c r="BZ6" t="s">
        <v>368</v>
      </c>
      <c r="CA6" t="s">
        <v>529</v>
      </c>
      <c r="CB6" s="3">
        <v>6.0000000000000003E-72</v>
      </c>
      <c r="CC6" t="s">
        <v>8</v>
      </c>
      <c r="CD6"/>
      <c r="CE6"/>
      <c r="CF6" t="s">
        <v>8</v>
      </c>
      <c r="CG6"/>
      <c r="CH6"/>
      <c r="CI6" t="s">
        <v>8</v>
      </c>
      <c r="CJ6"/>
      <c r="CK6" t="s">
        <v>8</v>
      </c>
      <c r="CL6"/>
      <c r="CM6" t="s">
        <v>8</v>
      </c>
      <c r="CN6"/>
      <c r="CO6" t="s">
        <v>8</v>
      </c>
      <c r="CP6"/>
      <c r="CQ6"/>
      <c r="CR6"/>
      <c r="CS6"/>
      <c r="CT6"/>
      <c r="CU6"/>
      <c r="CV6"/>
      <c r="CW6"/>
      <c r="CX6"/>
      <c r="CY6"/>
      <c r="CZ6"/>
      <c r="DA6"/>
      <c r="DB6"/>
      <c r="DC6" t="s">
        <v>8</v>
      </c>
      <c r="DD6"/>
      <c r="DE6"/>
      <c r="DF6"/>
      <c r="DG6"/>
      <c r="DH6"/>
      <c r="DI6"/>
      <c r="DJ6"/>
      <c r="DK6"/>
      <c r="DL6"/>
      <c r="DM6"/>
      <c r="DN6"/>
      <c r="DO6"/>
      <c r="DP6"/>
    </row>
    <row r="7" spans="1:120" s="6" customFormat="1">
      <c r="A7" s="6" t="str">
        <f>HYPERLINK(".\links\pep\TI-10-pep.txt","TI-10")</f>
        <v>TI-10</v>
      </c>
      <c r="B7" s="6">
        <v>10</v>
      </c>
      <c r="C7" s="6" t="s">
        <v>9</v>
      </c>
      <c r="D7" s="6">
        <v>36</v>
      </c>
      <c r="E7" s="6">
        <v>0</v>
      </c>
      <c r="F7" s="6" t="str">
        <f>HYPERLINK(".\links\cds\TI-10-cds.txt","TI-10")</f>
        <v>TI-10</v>
      </c>
      <c r="G7" s="6">
        <v>111</v>
      </c>
      <c r="I7" s="6" t="s">
        <v>8</v>
      </c>
      <c r="J7" s="6" t="s">
        <v>6</v>
      </c>
      <c r="K7" s="6">
        <v>1</v>
      </c>
      <c r="L7" s="6">
        <v>0</v>
      </c>
      <c r="M7" s="6">
        <f t="shared" si="0"/>
        <v>1</v>
      </c>
      <c r="N7" s="6">
        <f t="shared" si="1"/>
        <v>1</v>
      </c>
      <c r="O7" s="6" t="s">
        <v>1170</v>
      </c>
      <c r="P7" s="6" t="s">
        <v>1171</v>
      </c>
      <c r="T7" s="6" t="str">
        <f>HYPERLINK(".\links\NR-LIGHT\TI-10-NR-LIGHT.txt","nonstructural protein precursor")</f>
        <v>nonstructural protein precursor</v>
      </c>
      <c r="U7" s="6" t="str">
        <f>HYPERLINK("http://www.ncbi.nlm.nih.gov/sutils/blink.cgi?pid=20451029","2E-008")</f>
        <v>2E-008</v>
      </c>
      <c r="V7" s="6" t="str">
        <f>HYPERLINK("http://www.ncbi.nlm.nih.gov/protein/20451029","gi|20451029")</f>
        <v>gi|20451029</v>
      </c>
      <c r="W7" s="6">
        <v>60.1</v>
      </c>
      <c r="X7" s="6">
        <v>33</v>
      </c>
      <c r="Y7" s="6">
        <v>1795</v>
      </c>
      <c r="Z7" s="6">
        <v>79</v>
      </c>
      <c r="AA7" s="6">
        <v>2</v>
      </c>
      <c r="AB7" s="6">
        <v>7</v>
      </c>
      <c r="AC7" s="6">
        <v>0</v>
      </c>
      <c r="AD7" s="6">
        <v>973</v>
      </c>
      <c r="AE7" s="6">
        <v>1</v>
      </c>
      <c r="AF7" s="6">
        <v>1</v>
      </c>
      <c r="AH7" s="6" t="s">
        <v>13</v>
      </c>
      <c r="AI7" s="6" t="s">
        <v>51</v>
      </c>
      <c r="AJ7" s="6" t="s">
        <v>269</v>
      </c>
      <c r="AK7" s="6" t="s">
        <v>8</v>
      </c>
      <c r="AY7" s="6" t="s">
        <v>8</v>
      </c>
      <c r="BL7" s="6" t="s">
        <v>8</v>
      </c>
      <c r="CC7" s="6" t="s">
        <v>8</v>
      </c>
      <c r="CF7" s="6" t="s">
        <v>8</v>
      </c>
      <c r="CI7" s="6" t="s">
        <v>8</v>
      </c>
      <c r="CK7" s="6" t="s">
        <v>8</v>
      </c>
      <c r="CM7" s="6" t="s">
        <v>8</v>
      </c>
      <c r="CO7" s="6" t="s">
        <v>8</v>
      </c>
      <c r="DC7" s="6" t="s">
        <v>8</v>
      </c>
    </row>
    <row r="8" spans="1:120" s="6" customFormat="1">
      <c r="A8" t="str">
        <f>HYPERLINK(".\links\pep\TI-11-pep.txt","TI-11")</f>
        <v>TI-11</v>
      </c>
      <c r="B8">
        <v>11</v>
      </c>
      <c r="C8" t="s">
        <v>16</v>
      </c>
      <c r="D8">
        <v>203</v>
      </c>
      <c r="E8">
        <v>0</v>
      </c>
      <c r="F8" t="str">
        <f>HYPERLINK(".\links\cds\TI-11-cds.txt","TI-11")</f>
        <v>TI-11</v>
      </c>
      <c r="G8">
        <v>612</v>
      </c>
      <c r="H8"/>
      <c r="I8" t="s">
        <v>8</v>
      </c>
      <c r="J8" t="s">
        <v>6</v>
      </c>
      <c r="K8">
        <v>1</v>
      </c>
      <c r="L8">
        <v>0</v>
      </c>
      <c r="M8">
        <f t="shared" si="0"/>
        <v>1</v>
      </c>
      <c r="N8">
        <f t="shared" si="1"/>
        <v>1</v>
      </c>
      <c r="O8" t="s">
        <v>1251</v>
      </c>
      <c r="P8" t="s">
        <v>1187</v>
      </c>
      <c r="Q8" t="str">
        <f>HYPERLINK(".\links\GO\TI-11-GO.txt","GO")</f>
        <v>GO</v>
      </c>
      <c r="R8">
        <v>0</v>
      </c>
      <c r="S8">
        <v>20.9</v>
      </c>
      <c r="T8" t="str">
        <f>HYPERLINK(".\links\NR-LIGHT\TI-11-NR-LIGHT.txt","similar to discs large 1 CG1725-PK")</f>
        <v>similar to discs large 1 CG1725-PK</v>
      </c>
      <c r="U8" t="str">
        <f>HYPERLINK("http://www.ncbi.nlm.nih.gov/sutils/blink.cgi?pid=189234387","1E-103")</f>
        <v>1E-103</v>
      </c>
      <c r="V8" t="str">
        <f>HYPERLINK("http://www.ncbi.nlm.nih.gov/protein/189234387","gi|189234387")</f>
        <v>gi|189234387</v>
      </c>
      <c r="W8">
        <v>376</v>
      </c>
      <c r="X8">
        <v>202</v>
      </c>
      <c r="Y8">
        <v>729</v>
      </c>
      <c r="Z8">
        <v>86</v>
      </c>
      <c r="AA8">
        <v>28</v>
      </c>
      <c r="AB8">
        <v>27</v>
      </c>
      <c r="AC8">
        <v>0</v>
      </c>
      <c r="AD8">
        <v>527</v>
      </c>
      <c r="AE8">
        <v>1</v>
      </c>
      <c r="AF8">
        <v>1</v>
      </c>
      <c r="AG8"/>
      <c r="AH8" t="s">
        <v>13</v>
      </c>
      <c r="AI8" t="s">
        <v>51</v>
      </c>
      <c r="AJ8" t="s">
        <v>266</v>
      </c>
      <c r="AK8" t="str">
        <f>HYPERLINK(".\links\SWISSP\TI-11-SWISSP.txt","Disks large 1 tumor suppressor protein OS=Drosophila melanogaster GN=dlg1 PE=1")</f>
        <v>Disks large 1 tumor suppressor protein OS=Drosophila melanogaster GN=dlg1 PE=1</v>
      </c>
      <c r="AL8" t="str">
        <f>HYPERLINK("http://www.uniprot.org/uniprot/P31007","1E-102")</f>
        <v>1E-102</v>
      </c>
      <c r="AM8" t="s">
        <v>113</v>
      </c>
      <c r="AN8">
        <v>370</v>
      </c>
      <c r="AO8">
        <v>202</v>
      </c>
      <c r="AP8">
        <v>970</v>
      </c>
      <c r="AQ8">
        <v>83</v>
      </c>
      <c r="AR8">
        <v>21</v>
      </c>
      <c r="AS8">
        <v>34</v>
      </c>
      <c r="AT8">
        <v>0</v>
      </c>
      <c r="AU8">
        <v>768</v>
      </c>
      <c r="AV8">
        <v>1</v>
      </c>
      <c r="AW8">
        <v>1</v>
      </c>
      <c r="AX8" t="s">
        <v>52</v>
      </c>
      <c r="AY8" t="str">
        <f>HYPERLINK(".\links\PREV-RHOD-PEP\TI-11-PREV-RHOD-PEP.txt","Contig17160_2")</f>
        <v>Contig17160_2</v>
      </c>
      <c r="AZ8" s="3">
        <v>9.9999999999999994E-37</v>
      </c>
      <c r="BA8" t="s">
        <v>1028</v>
      </c>
      <c r="BB8">
        <v>148</v>
      </c>
      <c r="BC8">
        <v>70</v>
      </c>
      <c r="BD8">
        <v>71</v>
      </c>
      <c r="BE8">
        <v>100</v>
      </c>
      <c r="BF8">
        <v>100</v>
      </c>
      <c r="BG8">
        <v>0</v>
      </c>
      <c r="BH8">
        <v>0</v>
      </c>
      <c r="BI8">
        <v>1</v>
      </c>
      <c r="BJ8">
        <v>68</v>
      </c>
      <c r="BK8">
        <v>1</v>
      </c>
      <c r="BL8" t="s">
        <v>530</v>
      </c>
      <c r="BM8">
        <f>HYPERLINK(".\links\GO\TI-11-GO.txt",0)</f>
        <v>0</v>
      </c>
      <c r="BN8" t="s">
        <v>531</v>
      </c>
      <c r="BO8" t="s">
        <v>345</v>
      </c>
      <c r="BP8" t="s">
        <v>346</v>
      </c>
      <c r="BQ8" t="s">
        <v>532</v>
      </c>
      <c r="BR8" s="3">
        <v>9.9999999999999993E-103</v>
      </c>
      <c r="BS8" t="s">
        <v>438</v>
      </c>
      <c r="BT8" t="s">
        <v>323</v>
      </c>
      <c r="BU8" t="s">
        <v>324</v>
      </c>
      <c r="BV8" t="s">
        <v>439</v>
      </c>
      <c r="BW8" s="3">
        <v>9.9999999999999993E-103</v>
      </c>
      <c r="BX8" t="s">
        <v>533</v>
      </c>
      <c r="BY8" t="s">
        <v>345</v>
      </c>
      <c r="BZ8" t="s">
        <v>346</v>
      </c>
      <c r="CA8" t="s">
        <v>534</v>
      </c>
      <c r="CB8" s="3">
        <v>9.9999999999999993E-103</v>
      </c>
      <c r="CC8" t="s">
        <v>8</v>
      </c>
      <c r="CD8"/>
      <c r="CE8"/>
      <c r="CF8" t="s">
        <v>8</v>
      </c>
      <c r="CG8"/>
      <c r="CH8"/>
      <c r="CI8" t="s">
        <v>8</v>
      </c>
      <c r="CJ8"/>
      <c r="CK8" t="s">
        <v>8</v>
      </c>
      <c r="CL8"/>
      <c r="CM8" t="s">
        <v>8</v>
      </c>
      <c r="CN8"/>
      <c r="CO8" t="s">
        <v>8</v>
      </c>
      <c r="CP8"/>
      <c r="CQ8"/>
      <c r="CR8"/>
      <c r="CS8"/>
      <c r="CT8"/>
      <c r="CU8"/>
      <c r="CV8"/>
      <c r="CW8"/>
      <c r="CX8"/>
      <c r="CY8"/>
      <c r="CZ8"/>
      <c r="DA8"/>
      <c r="DB8"/>
      <c r="DC8" t="s">
        <v>8</v>
      </c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6" customFormat="1">
      <c r="A9" t="str">
        <f>HYPERLINK(".\links\pep\TI-12-pep.txt","TI-12")</f>
        <v>TI-12</v>
      </c>
      <c r="B9">
        <v>12</v>
      </c>
      <c r="C9" t="s">
        <v>19</v>
      </c>
      <c r="D9">
        <v>185</v>
      </c>
      <c r="E9">
        <v>0</v>
      </c>
      <c r="F9" t="str">
        <f>HYPERLINK(".\links\cds\TI-12-cds.txt","TI-12")</f>
        <v>TI-12</v>
      </c>
      <c r="G9">
        <v>552</v>
      </c>
      <c r="H9"/>
      <c r="I9" t="s">
        <v>8</v>
      </c>
      <c r="J9" t="s">
        <v>8</v>
      </c>
      <c r="K9">
        <v>0</v>
      </c>
      <c r="L9">
        <v>1</v>
      </c>
      <c r="M9">
        <f t="shared" si="0"/>
        <v>-1</v>
      </c>
      <c r="N9">
        <f t="shared" si="1"/>
        <v>1</v>
      </c>
      <c r="O9" t="s">
        <v>1174</v>
      </c>
      <c r="P9" t="s">
        <v>1175</v>
      </c>
      <c r="Q9" t="str">
        <f>HYPERLINK(".\links\NR-LIGHT\TI-12-NR-LIGHT.txt","NR-LIGHT")</f>
        <v>NR-LIGHT</v>
      </c>
      <c r="R9" s="3">
        <v>6.9999999999999997E-81</v>
      </c>
      <c r="S9">
        <v>47.1</v>
      </c>
      <c r="T9" t="str">
        <f>HYPERLINK(".\links\NR-LIGHT\TI-12-NR-LIGHT.txt","cathepsin D")</f>
        <v>cathepsin D</v>
      </c>
      <c r="U9" t="str">
        <f>HYPERLINK("http://www.ncbi.nlm.nih.gov/sutils/blink.cgi?pid=301030231","7E-081")</f>
        <v>7E-081</v>
      </c>
      <c r="V9" t="str">
        <f>HYPERLINK("http://www.ncbi.nlm.nih.gov/protein/301030231","gi|301030231")</f>
        <v>gi|301030231</v>
      </c>
      <c r="W9">
        <v>301</v>
      </c>
      <c r="X9">
        <v>183</v>
      </c>
      <c r="Y9">
        <v>390</v>
      </c>
      <c r="Z9">
        <v>75</v>
      </c>
      <c r="AA9">
        <v>47</v>
      </c>
      <c r="AB9">
        <v>45</v>
      </c>
      <c r="AC9">
        <v>0</v>
      </c>
      <c r="AD9">
        <v>32</v>
      </c>
      <c r="AE9">
        <v>1</v>
      </c>
      <c r="AF9">
        <v>1</v>
      </c>
      <c r="AG9"/>
      <c r="AH9" t="s">
        <v>13</v>
      </c>
      <c r="AI9" t="s">
        <v>51</v>
      </c>
      <c r="AJ9" t="s">
        <v>273</v>
      </c>
      <c r="AK9" t="str">
        <f>HYPERLINK(".\links\SWISSP\TI-12-SWISSP.txt","Probable vacuolar protease A OS=Trichophyton verrucosum (strain HKI 0517)")</f>
        <v>Probable vacuolar protease A OS=Trichophyton verrucosum (strain HKI 0517)</v>
      </c>
      <c r="AL9" t="str">
        <f>HYPERLINK("http://www.uniprot.org/uniprot/D4DEN7","2E-043")</f>
        <v>2E-043</v>
      </c>
      <c r="AM9" t="s">
        <v>94</v>
      </c>
      <c r="AN9">
        <v>174</v>
      </c>
      <c r="AO9">
        <v>174</v>
      </c>
      <c r="AP9">
        <v>400</v>
      </c>
      <c r="AQ9">
        <v>46</v>
      </c>
      <c r="AR9">
        <v>44</v>
      </c>
      <c r="AS9">
        <v>96</v>
      </c>
      <c r="AT9">
        <v>7</v>
      </c>
      <c r="AU9">
        <v>54</v>
      </c>
      <c r="AV9">
        <v>2</v>
      </c>
      <c r="AW9">
        <v>1</v>
      </c>
      <c r="AX9" t="s">
        <v>95</v>
      </c>
      <c r="AY9" t="str">
        <f>HYPERLINK(".\links\PREV-RHOD-PEP\TI-12-PREV-RHOD-PEP.txt","Contig17955_3")</f>
        <v>Contig17955_3</v>
      </c>
      <c r="AZ9" s="3">
        <v>9.9999999999999992E-72</v>
      </c>
      <c r="BA9" t="s">
        <v>1010</v>
      </c>
      <c r="BB9">
        <v>265</v>
      </c>
      <c r="BC9">
        <v>183</v>
      </c>
      <c r="BD9">
        <v>371</v>
      </c>
      <c r="BE9">
        <v>67</v>
      </c>
      <c r="BF9">
        <v>50</v>
      </c>
      <c r="BG9">
        <v>60</v>
      </c>
      <c r="BH9">
        <v>0</v>
      </c>
      <c r="BI9">
        <v>14</v>
      </c>
      <c r="BJ9">
        <v>1</v>
      </c>
      <c r="BK9">
        <v>1</v>
      </c>
      <c r="BL9" t="s">
        <v>535</v>
      </c>
      <c r="BM9">
        <f>HYPERLINK(".\links\GO\TI-12-GO.txt",4E-41)</f>
        <v>4E-41</v>
      </c>
      <c r="BN9" t="s">
        <v>455</v>
      </c>
      <c r="BO9" t="s">
        <v>345</v>
      </c>
      <c r="BP9" t="s">
        <v>349</v>
      </c>
      <c r="BQ9" t="s">
        <v>456</v>
      </c>
      <c r="BR9" s="3">
        <v>4E-41</v>
      </c>
      <c r="BS9" t="s">
        <v>457</v>
      </c>
      <c r="BT9" t="s">
        <v>323</v>
      </c>
      <c r="BU9" t="s">
        <v>334</v>
      </c>
      <c r="BV9" t="s">
        <v>458</v>
      </c>
      <c r="BW9" s="3">
        <v>4E-41</v>
      </c>
      <c r="BX9" t="s">
        <v>459</v>
      </c>
      <c r="BY9" t="s">
        <v>345</v>
      </c>
      <c r="BZ9" t="s">
        <v>349</v>
      </c>
      <c r="CA9" t="s">
        <v>460</v>
      </c>
      <c r="CB9" s="3">
        <v>4E-41</v>
      </c>
      <c r="CC9" t="s">
        <v>8</v>
      </c>
      <c r="CD9"/>
      <c r="CE9"/>
      <c r="CF9" t="s">
        <v>8</v>
      </c>
      <c r="CG9"/>
      <c r="CH9"/>
      <c r="CI9" t="s">
        <v>8</v>
      </c>
      <c r="CJ9"/>
      <c r="CK9" t="s">
        <v>8</v>
      </c>
      <c r="CL9"/>
      <c r="CM9" t="s">
        <v>8</v>
      </c>
      <c r="CN9"/>
      <c r="CO9" t="s">
        <v>8</v>
      </c>
      <c r="CP9"/>
      <c r="CQ9"/>
      <c r="CR9"/>
      <c r="CS9"/>
      <c r="CT9"/>
      <c r="CU9"/>
      <c r="CV9"/>
      <c r="CW9"/>
      <c r="CX9"/>
      <c r="CY9"/>
      <c r="CZ9"/>
      <c r="DA9"/>
      <c r="DB9"/>
      <c r="DC9" t="s">
        <v>8</v>
      </c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6" customFormat="1">
      <c r="A10" s="6" t="str">
        <f>HYPERLINK(".\links\pep\TI-13-pep.txt","TI-13")</f>
        <v>TI-13</v>
      </c>
      <c r="B10" s="6">
        <v>13</v>
      </c>
      <c r="C10" s="6" t="s">
        <v>10</v>
      </c>
      <c r="D10" s="6">
        <v>84</v>
      </c>
      <c r="E10" s="6">
        <v>0</v>
      </c>
      <c r="F10" s="6" t="str">
        <f>HYPERLINK(".\links\cds\TI-13-cds.txt","TI-13")</f>
        <v>TI-13</v>
      </c>
      <c r="G10" s="6">
        <v>255</v>
      </c>
      <c r="I10" s="6" t="s">
        <v>8</v>
      </c>
      <c r="J10" s="6" t="s">
        <v>6</v>
      </c>
      <c r="K10" s="6">
        <v>2</v>
      </c>
      <c r="L10" s="6">
        <v>0</v>
      </c>
      <c r="M10" s="6">
        <f t="shared" si="0"/>
        <v>2</v>
      </c>
      <c r="N10" s="6">
        <f t="shared" si="1"/>
        <v>2</v>
      </c>
      <c r="O10" s="6" t="s">
        <v>1170</v>
      </c>
      <c r="P10" s="6" t="s">
        <v>1171</v>
      </c>
      <c r="T10" s="6" t="s">
        <v>8</v>
      </c>
      <c r="AK10" s="6" t="s">
        <v>8</v>
      </c>
      <c r="AY10" s="6" t="s">
        <v>8</v>
      </c>
      <c r="BL10" s="6" t="s">
        <v>8</v>
      </c>
      <c r="CC10" s="6" t="s">
        <v>8</v>
      </c>
      <c r="CF10" s="6" t="s">
        <v>8</v>
      </c>
      <c r="CI10" s="6" t="s">
        <v>8</v>
      </c>
      <c r="CK10" s="6" t="s">
        <v>8</v>
      </c>
      <c r="CM10" s="6" t="s">
        <v>8</v>
      </c>
      <c r="CO10" s="6" t="s">
        <v>8</v>
      </c>
      <c r="DC10" s="6" t="s">
        <v>8</v>
      </c>
    </row>
    <row r="11" spans="1:120" s="6" customFormat="1">
      <c r="A11" t="str">
        <f>HYPERLINK(".\links\pep\TI-14-pep.txt","TI-14")</f>
        <v>TI-14</v>
      </c>
      <c r="B11">
        <v>14</v>
      </c>
      <c r="C11" t="s">
        <v>11</v>
      </c>
      <c r="D11">
        <v>203</v>
      </c>
      <c r="E11">
        <v>0</v>
      </c>
      <c r="F11" t="str">
        <f>HYPERLINK(".\links\cds\TI-14-cds.txt","TI-14")</f>
        <v>TI-14</v>
      </c>
      <c r="G11">
        <v>612</v>
      </c>
      <c r="H11"/>
      <c r="I11" t="s">
        <v>8</v>
      </c>
      <c r="J11" t="s">
        <v>6</v>
      </c>
      <c r="K11">
        <v>2</v>
      </c>
      <c r="L11">
        <v>0</v>
      </c>
      <c r="M11">
        <f t="shared" si="0"/>
        <v>2</v>
      </c>
      <c r="N11">
        <f t="shared" si="1"/>
        <v>2</v>
      </c>
      <c r="O11" t="s">
        <v>1252</v>
      </c>
      <c r="P11" t="s">
        <v>1176</v>
      </c>
      <c r="Q11" t="str">
        <f>HYPERLINK(".\links\NR-LIGHT\TI-14-NR-LIGHT.txt","NR-LIGHT")</f>
        <v>NR-LIGHT</v>
      </c>
      <c r="R11" s="3">
        <v>2.0000000000000001E-33</v>
      </c>
      <c r="S11">
        <v>34.299999999999997</v>
      </c>
      <c r="T11" t="str">
        <f>HYPERLINK(".\links\NR-LIGHT\TI-14-NR-LIGHT.txt","ACYPI000002")</f>
        <v>ACYPI000002</v>
      </c>
      <c r="U11" t="str">
        <f>HYPERLINK("http://www.ncbi.nlm.nih.gov/sutils/blink.cgi?pid=239791724","1E-034")</f>
        <v>1E-034</v>
      </c>
      <c r="V11" t="str">
        <f>HYPERLINK("http://www.ncbi.nlm.nih.gov/protein/239791724","gi|239791724")</f>
        <v>gi|239791724</v>
      </c>
      <c r="W11">
        <v>148</v>
      </c>
      <c r="X11">
        <v>193</v>
      </c>
      <c r="Y11">
        <v>304</v>
      </c>
      <c r="Z11">
        <v>40</v>
      </c>
      <c r="AA11">
        <v>64</v>
      </c>
      <c r="AB11">
        <v>119</v>
      </c>
      <c r="AC11">
        <v>6</v>
      </c>
      <c r="AD11">
        <v>107</v>
      </c>
      <c r="AE11">
        <v>3</v>
      </c>
      <c r="AF11">
        <v>1</v>
      </c>
      <c r="AG11"/>
      <c r="AH11" t="s">
        <v>13</v>
      </c>
      <c r="AI11" t="s">
        <v>51</v>
      </c>
      <c r="AJ11" t="s">
        <v>264</v>
      </c>
      <c r="AK11" t="str">
        <f>HYPERLINK(".\links\SWISSP\TI-14-SWISSP.txt","Probable maltase L OS=Drosophila melanogaster GN=LvpL PE=2 SV=2")</f>
        <v>Probable maltase L OS=Drosophila melanogaster GN=LvpL PE=2 SV=2</v>
      </c>
      <c r="AL11" t="str">
        <f>HYPERLINK("http://www.uniprot.org/uniprot/P07192","4E-025")</f>
        <v>4E-025</v>
      </c>
      <c r="AM11" t="s">
        <v>114</v>
      </c>
      <c r="AN11">
        <v>114</v>
      </c>
      <c r="AO11">
        <v>193</v>
      </c>
      <c r="AP11">
        <v>574</v>
      </c>
      <c r="AQ11">
        <v>34</v>
      </c>
      <c r="AR11">
        <v>34</v>
      </c>
      <c r="AS11">
        <v>131</v>
      </c>
      <c r="AT11">
        <v>5</v>
      </c>
      <c r="AU11">
        <v>380</v>
      </c>
      <c r="AV11">
        <v>1</v>
      </c>
      <c r="AW11">
        <v>1</v>
      </c>
      <c r="AX11" t="s">
        <v>52</v>
      </c>
      <c r="AY11" t="str">
        <f>HYPERLINK(".\links\PREV-RHOD-PEP\TI-14-PREV-RHOD-PEP.txt","Contig17590_30")</f>
        <v>Contig17590_30</v>
      </c>
      <c r="AZ11" s="3">
        <v>4.9999999999999995E-22</v>
      </c>
      <c r="BA11" t="s">
        <v>1029</v>
      </c>
      <c r="BB11">
        <v>100</v>
      </c>
      <c r="BC11">
        <v>69</v>
      </c>
      <c r="BD11">
        <v>599</v>
      </c>
      <c r="BE11">
        <v>70</v>
      </c>
      <c r="BF11">
        <v>12</v>
      </c>
      <c r="BG11">
        <v>21</v>
      </c>
      <c r="BH11">
        <v>1</v>
      </c>
      <c r="BI11">
        <v>528</v>
      </c>
      <c r="BJ11">
        <v>130</v>
      </c>
      <c r="BK11">
        <v>1</v>
      </c>
      <c r="BL11" t="s">
        <v>536</v>
      </c>
      <c r="BM11">
        <f>HYPERLINK(".\links\GO\TI-14-GO.txt",3E-27)</f>
        <v>3.0000000000000001E-27</v>
      </c>
      <c r="BN11" t="s">
        <v>405</v>
      </c>
      <c r="BO11" t="s">
        <v>340</v>
      </c>
      <c r="BP11" t="s">
        <v>341</v>
      </c>
      <c r="BQ11" t="s">
        <v>406</v>
      </c>
      <c r="BR11">
        <v>7.9999999999999995E-11</v>
      </c>
      <c r="BS11" t="s">
        <v>407</v>
      </c>
      <c r="BT11" t="s">
        <v>323</v>
      </c>
      <c r="BU11" t="s">
        <v>334</v>
      </c>
      <c r="BV11" t="s">
        <v>408</v>
      </c>
      <c r="BW11">
        <v>7.9999999999999995E-11</v>
      </c>
      <c r="BX11" t="s">
        <v>409</v>
      </c>
      <c r="BY11" t="s">
        <v>340</v>
      </c>
      <c r="BZ11" t="s">
        <v>341</v>
      </c>
      <c r="CA11" t="s">
        <v>410</v>
      </c>
      <c r="CB11">
        <v>7.9999999999999995E-11</v>
      </c>
      <c r="CC11" t="s">
        <v>8</v>
      </c>
      <c r="CD11"/>
      <c r="CE11"/>
      <c r="CF11" t="s">
        <v>8</v>
      </c>
      <c r="CG11"/>
      <c r="CH11"/>
      <c r="CI11" t="s">
        <v>8</v>
      </c>
      <c r="CJ11"/>
      <c r="CK11" t="s">
        <v>8</v>
      </c>
      <c r="CL11"/>
      <c r="CM11" t="s">
        <v>8</v>
      </c>
      <c r="CN11"/>
      <c r="CO11" t="s">
        <v>8</v>
      </c>
      <c r="CP11"/>
      <c r="CQ11"/>
      <c r="CR11"/>
      <c r="CS11"/>
      <c r="CT11"/>
      <c r="CU11"/>
      <c r="CV11"/>
      <c r="CW11"/>
      <c r="CX11"/>
      <c r="CY11"/>
      <c r="CZ11"/>
      <c r="DA11"/>
      <c r="DB11"/>
      <c r="DC11" t="s">
        <v>8</v>
      </c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6" customFormat="1">
      <c r="A12" t="str">
        <f>HYPERLINK(".\links\pep\TI-16-pep.txt","TI-16")</f>
        <v>TI-16</v>
      </c>
      <c r="B12">
        <v>16</v>
      </c>
      <c r="C12" t="s">
        <v>9</v>
      </c>
      <c r="D12">
        <v>179</v>
      </c>
      <c r="E12">
        <v>0</v>
      </c>
      <c r="F12" t="str">
        <f>HYPERLINK(".\links\cds\TI-16-cds.txt","TI-16")</f>
        <v>TI-16</v>
      </c>
      <c r="G12">
        <v>534</v>
      </c>
      <c r="H12"/>
      <c r="I12" t="s">
        <v>8</v>
      </c>
      <c r="J12" t="s">
        <v>8</v>
      </c>
      <c r="K12">
        <v>0</v>
      </c>
      <c r="L12">
        <v>1</v>
      </c>
      <c r="M12">
        <f t="shared" si="0"/>
        <v>-1</v>
      </c>
      <c r="N12">
        <f t="shared" si="1"/>
        <v>1</v>
      </c>
      <c r="O12" t="s">
        <v>1177</v>
      </c>
      <c r="P12" t="s">
        <v>1178</v>
      </c>
      <c r="Q12" t="str">
        <f>HYPERLINK(".\links\NR-LIGHT\TI-16-NR-LIGHT.txt","NR-LIGHT")</f>
        <v>NR-LIGHT</v>
      </c>
      <c r="R12" s="3">
        <v>3E-28</v>
      </c>
      <c r="S12">
        <v>82.1</v>
      </c>
      <c r="T12" t="str">
        <f>HYPERLINK(".\links\NR-LIGHT\TI-16-NR-LIGHT.txt","similar to NBP2b protein, putative")</f>
        <v>similar to NBP2b protein, putative</v>
      </c>
      <c r="U12" t="str">
        <f>HYPERLINK("http://www.ncbi.nlm.nih.gov/sutils/blink.cgi?pid=189237012","3E-028")</f>
        <v>3E-028</v>
      </c>
      <c r="V12" t="str">
        <f>HYPERLINK("http://www.ncbi.nlm.nih.gov/protein/189237012","gi|189237012")</f>
        <v>gi|189237012</v>
      </c>
      <c r="W12">
        <v>126</v>
      </c>
      <c r="X12">
        <v>164</v>
      </c>
      <c r="Y12">
        <v>207</v>
      </c>
      <c r="Z12">
        <v>43</v>
      </c>
      <c r="AA12">
        <v>80</v>
      </c>
      <c r="AB12">
        <v>96</v>
      </c>
      <c r="AC12">
        <v>8</v>
      </c>
      <c r="AD12">
        <v>10</v>
      </c>
      <c r="AE12">
        <v>2</v>
      </c>
      <c r="AF12">
        <v>1</v>
      </c>
      <c r="AG12"/>
      <c r="AH12" t="s">
        <v>13</v>
      </c>
      <c r="AI12" t="s">
        <v>51</v>
      </c>
      <c r="AJ12" t="s">
        <v>266</v>
      </c>
      <c r="AK12" t="str">
        <f>HYPERLINK(".\links\SWISSP\TI-16-SWISSP.txt","Coiled-coil domain-containing protein 43 OS=Rattus norvegicus GN=Ccdc43 PE=2")</f>
        <v>Coiled-coil domain-containing protein 43 OS=Rattus norvegicus GN=Ccdc43 PE=2</v>
      </c>
      <c r="AL12" t="str">
        <f>HYPERLINK("http://www.uniprot.org/uniprot/Q5BK07","8E-010")</f>
        <v>8E-010</v>
      </c>
      <c r="AM12" t="s">
        <v>115</v>
      </c>
      <c r="AN12">
        <v>63.2</v>
      </c>
      <c r="AO12">
        <v>145</v>
      </c>
      <c r="AP12">
        <v>222</v>
      </c>
      <c r="AQ12">
        <v>31</v>
      </c>
      <c r="AR12">
        <v>66</v>
      </c>
      <c r="AS12">
        <v>105</v>
      </c>
      <c r="AT12">
        <v>13</v>
      </c>
      <c r="AU12">
        <v>22</v>
      </c>
      <c r="AV12">
        <v>2</v>
      </c>
      <c r="AW12">
        <v>1</v>
      </c>
      <c r="AX12" t="s">
        <v>74</v>
      </c>
      <c r="AY12" t="str">
        <f>HYPERLINK(".\links\PREV-RHOD-PEP\TI-16-PREV-RHOD-PEP.txt","Contig15608_3")</f>
        <v>Contig15608_3</v>
      </c>
      <c r="AZ12" s="3">
        <v>8.0000000000000003E-62</v>
      </c>
      <c r="BA12" t="s">
        <v>1030</v>
      </c>
      <c r="BB12">
        <v>232</v>
      </c>
      <c r="BC12">
        <v>156</v>
      </c>
      <c r="BD12">
        <v>210</v>
      </c>
      <c r="BE12">
        <v>75</v>
      </c>
      <c r="BF12">
        <v>75</v>
      </c>
      <c r="BG12">
        <v>39</v>
      </c>
      <c r="BH12">
        <v>0</v>
      </c>
      <c r="BI12">
        <v>21</v>
      </c>
      <c r="BJ12">
        <v>12</v>
      </c>
      <c r="BK12">
        <v>1</v>
      </c>
      <c r="BL12" t="s">
        <v>537</v>
      </c>
      <c r="BM12">
        <f>HYPERLINK(".\links\GO\TI-16-GO.txt",0.00000002)</f>
        <v>2E-8</v>
      </c>
      <c r="BN12" t="s">
        <v>373</v>
      </c>
      <c r="BO12" t="s">
        <v>373</v>
      </c>
      <c r="BP12"/>
      <c r="BQ12" t="s">
        <v>374</v>
      </c>
      <c r="BR12">
        <v>2E-8</v>
      </c>
      <c r="BS12" t="s">
        <v>375</v>
      </c>
      <c r="BT12" t="s">
        <v>375</v>
      </c>
      <c r="BU12"/>
      <c r="BV12" t="s">
        <v>376</v>
      </c>
      <c r="BW12">
        <v>2E-8</v>
      </c>
      <c r="BX12" t="s">
        <v>380</v>
      </c>
      <c r="BY12" t="s">
        <v>373</v>
      </c>
      <c r="BZ12"/>
      <c r="CA12" t="s">
        <v>381</v>
      </c>
      <c r="CB12">
        <v>2E-8</v>
      </c>
      <c r="CC12" t="s">
        <v>8</v>
      </c>
      <c r="CD12"/>
      <c r="CE12"/>
      <c r="CF12" t="s">
        <v>8</v>
      </c>
      <c r="CG12"/>
      <c r="CH12"/>
      <c r="CI12" t="s">
        <v>8</v>
      </c>
      <c r="CJ12"/>
      <c r="CK12" t="s">
        <v>8</v>
      </c>
      <c r="CL12"/>
      <c r="CM12" t="s">
        <v>8</v>
      </c>
      <c r="CN12"/>
      <c r="CO12" t="s">
        <v>8</v>
      </c>
      <c r="CP12"/>
      <c r="CQ12"/>
      <c r="CR12"/>
      <c r="CS12"/>
      <c r="CT12"/>
      <c r="CU12"/>
      <c r="CV12"/>
      <c r="CW12"/>
      <c r="CX12"/>
      <c r="CY12"/>
      <c r="CZ12"/>
      <c r="DA12"/>
      <c r="DB12"/>
      <c r="DC12" t="s">
        <v>8</v>
      </c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s="6" customFormat="1">
      <c r="A13" s="6" t="str">
        <f>HYPERLINK(".\links\pep\TI-17-pep.txt","TI-17")</f>
        <v>TI-17</v>
      </c>
      <c r="B13" s="6">
        <v>17</v>
      </c>
      <c r="C13" s="6" t="s">
        <v>12</v>
      </c>
      <c r="D13" s="6">
        <v>71</v>
      </c>
      <c r="E13" s="6">
        <v>0</v>
      </c>
      <c r="F13" s="6" t="str">
        <f>HYPERLINK(".\links\cds\TI-17-cds.txt","TI-17")</f>
        <v>TI-17</v>
      </c>
      <c r="G13" s="6">
        <v>216</v>
      </c>
      <c r="I13" s="6" t="s">
        <v>8</v>
      </c>
      <c r="J13" s="6" t="s">
        <v>6</v>
      </c>
      <c r="K13" s="6">
        <v>0</v>
      </c>
      <c r="L13" s="6">
        <v>1</v>
      </c>
      <c r="M13" s="6">
        <f t="shared" si="0"/>
        <v>-1</v>
      </c>
      <c r="N13" s="6">
        <f t="shared" si="1"/>
        <v>1</v>
      </c>
      <c r="O13" s="6" t="s">
        <v>1170</v>
      </c>
      <c r="P13" s="6" t="s">
        <v>1171</v>
      </c>
      <c r="T13" s="6" t="str">
        <f>HYPERLINK(".\links\NR-LIGHT\TI-17-NR-LIGHT.txt","DnaJ homolog, subfamily C, member 19")</f>
        <v>DnaJ homolog, subfamily C, member 19</v>
      </c>
      <c r="U13" s="6" t="str">
        <f>HYPERLINK("http://www.ncbi.nlm.nih.gov/sutils/blink.cgi?pid=297466452","0.72")</f>
        <v>0.72</v>
      </c>
      <c r="V13" s="6" t="str">
        <f>HYPERLINK("http://www.ncbi.nlm.nih.gov/protein/297466452","gi|297466452")</f>
        <v>gi|297466452</v>
      </c>
      <c r="W13" s="6">
        <v>35</v>
      </c>
      <c r="X13" s="6">
        <v>60</v>
      </c>
      <c r="Y13" s="6">
        <v>116</v>
      </c>
      <c r="Z13" s="6">
        <v>30</v>
      </c>
      <c r="AA13" s="6">
        <v>53</v>
      </c>
      <c r="AB13" s="6">
        <v>46</v>
      </c>
      <c r="AC13" s="6">
        <v>6</v>
      </c>
      <c r="AD13" s="6">
        <v>34</v>
      </c>
      <c r="AE13" s="6">
        <v>3</v>
      </c>
      <c r="AF13" s="6">
        <v>1</v>
      </c>
      <c r="AH13" s="6" t="s">
        <v>13</v>
      </c>
      <c r="AI13" s="6" t="s">
        <v>51</v>
      </c>
      <c r="AJ13" s="6" t="s">
        <v>64</v>
      </c>
      <c r="AK13" s="6" t="s">
        <v>8</v>
      </c>
      <c r="AY13" s="6" t="s">
        <v>8</v>
      </c>
      <c r="BL13" s="6" t="s">
        <v>8</v>
      </c>
      <c r="CC13" s="6" t="s">
        <v>8</v>
      </c>
      <c r="CF13" s="6" t="s">
        <v>8</v>
      </c>
      <c r="CI13" s="6" t="s">
        <v>8</v>
      </c>
      <c r="CK13" s="6" t="s">
        <v>8</v>
      </c>
      <c r="CM13" s="6" t="s">
        <v>8</v>
      </c>
      <c r="CO13" s="6" t="s">
        <v>8</v>
      </c>
      <c r="DC13" s="6" t="s">
        <v>8</v>
      </c>
    </row>
    <row r="14" spans="1:120" s="6" customFormat="1">
      <c r="A14" s="6" t="str">
        <f>HYPERLINK(".\links\pep\TI-18-pep.txt","TI-18")</f>
        <v>TI-18</v>
      </c>
      <c r="B14" s="6">
        <v>18</v>
      </c>
      <c r="C14" s="6" t="s">
        <v>26</v>
      </c>
      <c r="D14" s="6">
        <v>40</v>
      </c>
      <c r="E14" s="6">
        <v>0</v>
      </c>
      <c r="F14" s="6" t="str">
        <f>HYPERLINK(".\links\cds\TI-18-cds.txt","TI-18")</f>
        <v>TI-18</v>
      </c>
      <c r="G14" s="6">
        <v>123</v>
      </c>
      <c r="I14" s="6" t="s">
        <v>8</v>
      </c>
      <c r="J14" s="6" t="s">
        <v>6</v>
      </c>
      <c r="K14" s="6">
        <v>0</v>
      </c>
      <c r="L14" s="6">
        <v>1</v>
      </c>
      <c r="M14" s="6">
        <f t="shared" si="0"/>
        <v>-1</v>
      </c>
      <c r="N14" s="6">
        <f t="shared" si="1"/>
        <v>1</v>
      </c>
      <c r="O14" s="6" t="s">
        <v>1170</v>
      </c>
      <c r="P14" s="6" t="s">
        <v>1171</v>
      </c>
      <c r="T14" s="6" t="s">
        <v>8</v>
      </c>
      <c r="AK14" s="6" t="s">
        <v>8</v>
      </c>
      <c r="AY14" s="6" t="s">
        <v>8</v>
      </c>
      <c r="BL14" s="6" t="s">
        <v>8</v>
      </c>
      <c r="CC14" s="6" t="s">
        <v>8</v>
      </c>
      <c r="CF14" s="6" t="s">
        <v>8</v>
      </c>
      <c r="CI14" s="6" t="s">
        <v>8</v>
      </c>
      <c r="CK14" s="6" t="s">
        <v>8</v>
      </c>
      <c r="CM14" s="6" t="s">
        <v>8</v>
      </c>
      <c r="CO14" s="6" t="s">
        <v>8</v>
      </c>
      <c r="DC14" s="6" t="s">
        <v>8</v>
      </c>
    </row>
    <row r="15" spans="1:120" s="6" customFormat="1">
      <c r="A15" s="6" t="str">
        <f>HYPERLINK(".\links\pep\TI-20-pep.txt","TI-20")</f>
        <v>TI-20</v>
      </c>
      <c r="B15" s="6">
        <v>20</v>
      </c>
      <c r="C15" s="6" t="s">
        <v>16</v>
      </c>
      <c r="D15" s="6">
        <v>96</v>
      </c>
      <c r="E15" s="6">
        <v>0</v>
      </c>
      <c r="F15" s="6" t="str">
        <f>HYPERLINK(".\links\cds\TI-20-cds.txt","TI-20")</f>
        <v>TI-20</v>
      </c>
      <c r="G15" s="6">
        <v>291</v>
      </c>
      <c r="I15" s="6" t="s">
        <v>8</v>
      </c>
      <c r="J15" s="6" t="s">
        <v>6</v>
      </c>
      <c r="K15" s="6">
        <v>1</v>
      </c>
      <c r="L15" s="6">
        <v>0</v>
      </c>
      <c r="M15" s="6">
        <f t="shared" si="0"/>
        <v>1</v>
      </c>
      <c r="N15" s="6">
        <f t="shared" si="1"/>
        <v>1</v>
      </c>
      <c r="O15" s="6" t="s">
        <v>1170</v>
      </c>
      <c r="P15" s="6" t="s">
        <v>1171</v>
      </c>
      <c r="T15" s="6" t="str">
        <f>HYPERLINK(".\links\NR-LIGHT\TI-20-NR-LIGHT.txt","INT1 protein")</f>
        <v>INT1 protein</v>
      </c>
      <c r="U15" s="6" t="str">
        <f>HYPERLINK("http://www.ncbi.nlm.nih.gov/sutils/blink.cgi?pid=17511853","1.5")</f>
        <v>1.5</v>
      </c>
      <c r="V15" s="6" t="str">
        <f>HYPERLINK("http://www.ncbi.nlm.nih.gov/protein/17511853","gi|17511853")</f>
        <v>gi|17511853</v>
      </c>
      <c r="W15" s="6">
        <v>33.9</v>
      </c>
      <c r="X15" s="6">
        <v>40</v>
      </c>
      <c r="Y15" s="6">
        <v>698</v>
      </c>
      <c r="Z15" s="6">
        <v>41</v>
      </c>
      <c r="AA15" s="6">
        <v>6</v>
      </c>
      <c r="AB15" s="6">
        <v>24</v>
      </c>
      <c r="AC15" s="6">
        <v>1</v>
      </c>
      <c r="AD15" s="6">
        <v>139</v>
      </c>
      <c r="AE15" s="6">
        <v>44</v>
      </c>
      <c r="AF15" s="6">
        <v>1</v>
      </c>
      <c r="AH15" s="6" t="s">
        <v>13</v>
      </c>
      <c r="AI15" s="6" t="s">
        <v>51</v>
      </c>
      <c r="AJ15" s="6" t="s">
        <v>68</v>
      </c>
      <c r="AK15" s="6" t="s">
        <v>8</v>
      </c>
      <c r="AY15" s="6" t="s">
        <v>8</v>
      </c>
      <c r="BL15" s="6" t="s">
        <v>8</v>
      </c>
      <c r="CC15" s="6" t="s">
        <v>8</v>
      </c>
      <c r="CF15" s="6" t="s">
        <v>8</v>
      </c>
      <c r="CI15" s="6" t="s">
        <v>8</v>
      </c>
      <c r="CK15" s="6" t="s">
        <v>8</v>
      </c>
      <c r="CM15" s="6" t="s">
        <v>8</v>
      </c>
      <c r="CO15" s="6" t="s">
        <v>8</v>
      </c>
      <c r="DC15" s="6" t="s">
        <v>8</v>
      </c>
    </row>
    <row r="16" spans="1:120" s="6" customFormat="1">
      <c r="A16" t="str">
        <f>HYPERLINK(".\links\pep\TI-22-pep.txt","TI-22")</f>
        <v>TI-22</v>
      </c>
      <c r="B16">
        <v>22</v>
      </c>
      <c r="C16" t="s">
        <v>27</v>
      </c>
      <c r="D16">
        <v>157</v>
      </c>
      <c r="E16" s="2">
        <v>1.2738849999999999</v>
      </c>
      <c r="F16" t="str">
        <f>HYPERLINK(".\links\cds\TI-22-cds.txt","TI-22")</f>
        <v>TI-22</v>
      </c>
      <c r="G16">
        <v>469</v>
      </c>
      <c r="H16"/>
      <c r="I16" t="s">
        <v>8</v>
      </c>
      <c r="J16" t="s">
        <v>8</v>
      </c>
      <c r="K16">
        <v>1</v>
      </c>
      <c r="L16">
        <v>0</v>
      </c>
      <c r="M16">
        <f t="shared" si="0"/>
        <v>1</v>
      </c>
      <c r="N16">
        <f t="shared" si="1"/>
        <v>1</v>
      </c>
      <c r="O16" t="s">
        <v>1253</v>
      </c>
      <c r="P16" t="s">
        <v>1173</v>
      </c>
      <c r="Q16" t="str">
        <f>HYPERLINK(".\links\GO\TI-22-GO.txt","GO")</f>
        <v>GO</v>
      </c>
      <c r="R16">
        <v>2.0000000000000001E-13</v>
      </c>
      <c r="S16">
        <v>48.3</v>
      </c>
      <c r="T16" t="str">
        <f>HYPERLINK(".\links\NR-LIGHT\TI-22-NR-LIGHT.txt","similar to GA10597-PA")</f>
        <v>similar to GA10597-PA</v>
      </c>
      <c r="U16" t="str">
        <f>HYPERLINK("http://www.ncbi.nlm.nih.gov/sutils/blink.cgi?pid=156543298","1E-047")</f>
        <v>1E-047</v>
      </c>
      <c r="V16" t="str">
        <f>HYPERLINK("http://www.ncbi.nlm.nih.gov/protein/156543298","gi|156543298")</f>
        <v>gi|156543298</v>
      </c>
      <c r="W16">
        <v>190</v>
      </c>
      <c r="X16">
        <v>155</v>
      </c>
      <c r="Y16">
        <v>300</v>
      </c>
      <c r="Z16">
        <v>56</v>
      </c>
      <c r="AA16">
        <v>52</v>
      </c>
      <c r="AB16">
        <v>68</v>
      </c>
      <c r="AC16">
        <v>1</v>
      </c>
      <c r="AD16">
        <v>5</v>
      </c>
      <c r="AE16">
        <v>1</v>
      </c>
      <c r="AF16">
        <v>1</v>
      </c>
      <c r="AG16"/>
      <c r="AH16" t="s">
        <v>13</v>
      </c>
      <c r="AI16" t="s">
        <v>51</v>
      </c>
      <c r="AJ16" t="s">
        <v>274</v>
      </c>
      <c r="AK16" t="str">
        <f>HYPERLINK(".\links\SWISSP\TI-22-SWISSP.txt","Trans-2,3-enoyl-CoA reductase OS=Mus musculus GN=Tecr PE=1 SV=1")</f>
        <v>Trans-2,3-enoyl-CoA reductase OS=Mus musculus GN=Tecr PE=1 SV=1</v>
      </c>
      <c r="AL16" t="str">
        <f>HYPERLINK("http://www.uniprot.org/uniprot/Q9CY27","5E-035")</f>
        <v>5E-035</v>
      </c>
      <c r="AM16" t="s">
        <v>105</v>
      </c>
      <c r="AN16">
        <v>146</v>
      </c>
      <c r="AO16">
        <v>158</v>
      </c>
      <c r="AP16">
        <v>308</v>
      </c>
      <c r="AQ16">
        <v>45</v>
      </c>
      <c r="AR16">
        <v>52</v>
      </c>
      <c r="AS16">
        <v>86</v>
      </c>
      <c r="AT16">
        <v>2</v>
      </c>
      <c r="AU16">
        <v>8</v>
      </c>
      <c r="AV16">
        <v>1</v>
      </c>
      <c r="AW16">
        <v>1</v>
      </c>
      <c r="AX16" t="s">
        <v>87</v>
      </c>
      <c r="AY16" t="str">
        <f>HYPERLINK(".\links\PREV-RHOD-PEP\TI-22-PREV-RHOD-PEP.txt","Contig18032_78")</f>
        <v>Contig18032_78</v>
      </c>
      <c r="AZ16" s="3">
        <v>1.9999999999999999E-75</v>
      </c>
      <c r="BA16" t="s">
        <v>1021</v>
      </c>
      <c r="BB16">
        <v>276</v>
      </c>
      <c r="BC16">
        <v>156</v>
      </c>
      <c r="BD16">
        <v>301</v>
      </c>
      <c r="BE16">
        <v>84</v>
      </c>
      <c r="BF16">
        <v>52</v>
      </c>
      <c r="BG16">
        <v>25</v>
      </c>
      <c r="BH16">
        <v>0</v>
      </c>
      <c r="BI16">
        <v>5</v>
      </c>
      <c r="BJ16">
        <v>1</v>
      </c>
      <c r="BK16">
        <v>1</v>
      </c>
      <c r="BL16" t="s">
        <v>505</v>
      </c>
      <c r="BM16">
        <f>HYPERLINK(".\links\GO\TI-22-GO.txt",2E-21)</f>
        <v>1.9999999999999998E-21</v>
      </c>
      <c r="BN16" t="s">
        <v>373</v>
      </c>
      <c r="BO16" t="s">
        <v>373</v>
      </c>
      <c r="BP16"/>
      <c r="BQ16" t="s">
        <v>374</v>
      </c>
      <c r="BR16" s="3">
        <v>1.9999999999999998E-21</v>
      </c>
      <c r="BS16" t="s">
        <v>322</v>
      </c>
      <c r="BT16" t="s">
        <v>323</v>
      </c>
      <c r="BU16" t="s">
        <v>324</v>
      </c>
      <c r="BV16" t="s">
        <v>325</v>
      </c>
      <c r="BW16" s="3">
        <v>1.9999999999999998E-21</v>
      </c>
      <c r="BX16" t="s">
        <v>380</v>
      </c>
      <c r="BY16" t="s">
        <v>373</v>
      </c>
      <c r="BZ16"/>
      <c r="CA16" t="s">
        <v>381</v>
      </c>
      <c r="CB16" s="3">
        <v>1.9999999999999998E-21</v>
      </c>
      <c r="CC16" t="s">
        <v>8</v>
      </c>
      <c r="CD16"/>
      <c r="CE16"/>
      <c r="CF16" t="s">
        <v>8</v>
      </c>
      <c r="CG16"/>
      <c r="CH16"/>
      <c r="CI16" t="s">
        <v>8</v>
      </c>
      <c r="CJ16"/>
      <c r="CK16" t="s">
        <v>8</v>
      </c>
      <c r="CL16"/>
      <c r="CM16" t="s">
        <v>8</v>
      </c>
      <c r="CN16"/>
      <c r="CO16" t="s">
        <v>8</v>
      </c>
      <c r="CP16"/>
      <c r="CQ16"/>
      <c r="CR16"/>
      <c r="CS16"/>
      <c r="CT16"/>
      <c r="CU16"/>
      <c r="CV16"/>
      <c r="CW16"/>
      <c r="CX16"/>
      <c r="CY16"/>
      <c r="CZ16"/>
      <c r="DA16"/>
      <c r="DB16"/>
      <c r="DC16" t="s">
        <v>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20" s="6" customFormat="1">
      <c r="A17" t="str">
        <f>HYPERLINK(".\links\pep\TI-23-pep.txt","TI-23")</f>
        <v>TI-23</v>
      </c>
      <c r="B17">
        <v>23</v>
      </c>
      <c r="C17" t="s">
        <v>12</v>
      </c>
      <c r="D17">
        <v>289</v>
      </c>
      <c r="E17">
        <v>0</v>
      </c>
      <c r="F17" t="str">
        <f>HYPERLINK(".\links\cds\TI-23-cds.txt","TI-23")</f>
        <v>TI-23</v>
      </c>
      <c r="G17">
        <v>870</v>
      </c>
      <c r="H17"/>
      <c r="I17" t="s">
        <v>8</v>
      </c>
      <c r="J17" t="s">
        <v>6</v>
      </c>
      <c r="K17">
        <v>1</v>
      </c>
      <c r="L17">
        <v>0</v>
      </c>
      <c r="M17">
        <f t="shared" si="0"/>
        <v>1</v>
      </c>
      <c r="N17">
        <f t="shared" si="1"/>
        <v>1</v>
      </c>
      <c r="O17" t="s">
        <v>1179</v>
      </c>
      <c r="P17" t="s">
        <v>1178</v>
      </c>
      <c r="Q17" t="str">
        <f>HYPERLINK(".\links\NR-LIGHT\TI-23-NR-LIGHT.txt","NR-LIGHT")</f>
        <v>NR-LIGHT</v>
      </c>
      <c r="R17" s="3">
        <v>2.0000000000000001E-56</v>
      </c>
      <c r="S17">
        <v>44.4</v>
      </c>
      <c r="T17" t="str">
        <f>HYPERLINK(".\links\NR-LIGHT\TI-23-NR-LIGHT.txt","hypothetical mucin")</f>
        <v>hypothetical mucin</v>
      </c>
      <c r="U17" t="str">
        <f>HYPERLINK("http://www.ncbi.nlm.nih.gov/sutils/blink.cgi?pid=307095162","2E-056")</f>
        <v>2E-056</v>
      </c>
      <c r="V17" t="str">
        <f>HYPERLINK("http://www.ncbi.nlm.nih.gov/protein/307095162","gi|307095162")</f>
        <v>gi|307095162</v>
      </c>
      <c r="W17">
        <v>221</v>
      </c>
      <c r="X17">
        <v>127</v>
      </c>
      <c r="Y17">
        <v>288</v>
      </c>
      <c r="Z17">
        <v>90</v>
      </c>
      <c r="AA17">
        <v>44</v>
      </c>
      <c r="AB17">
        <v>12</v>
      </c>
      <c r="AC17">
        <v>1</v>
      </c>
      <c r="AD17">
        <v>161</v>
      </c>
      <c r="AE17">
        <v>1</v>
      </c>
      <c r="AF17">
        <v>1</v>
      </c>
      <c r="AG17"/>
      <c r="AH17" t="s">
        <v>13</v>
      </c>
      <c r="AI17" t="s">
        <v>51</v>
      </c>
      <c r="AJ17" t="s">
        <v>278</v>
      </c>
      <c r="AK17" t="str">
        <f>HYPERLINK(".\links\SWISSP\TI-23-SWISSP.txt","Formin-binding protein 4 OS=Homo sapiens GN=FNBP4 PE=1 SV=3")</f>
        <v>Formin-binding protein 4 OS=Homo sapiens GN=FNBP4 PE=1 SV=3</v>
      </c>
      <c r="AL17" t="str">
        <f>HYPERLINK("http://www.uniprot.org/uniprot/Q8N3X1","8E-006")</f>
        <v>8E-006</v>
      </c>
      <c r="AM17" t="s">
        <v>116</v>
      </c>
      <c r="AN17">
        <v>51.2</v>
      </c>
      <c r="AO17">
        <v>82</v>
      </c>
      <c r="AP17">
        <v>1017</v>
      </c>
      <c r="AQ17">
        <v>27</v>
      </c>
      <c r="AR17">
        <v>8</v>
      </c>
      <c r="AS17">
        <v>60</v>
      </c>
      <c r="AT17">
        <v>0</v>
      </c>
      <c r="AU17">
        <v>525</v>
      </c>
      <c r="AV17">
        <v>150</v>
      </c>
      <c r="AW17">
        <v>1</v>
      </c>
      <c r="AX17" t="s">
        <v>68</v>
      </c>
      <c r="AY17" t="str">
        <f>HYPERLINK(".\links\PREV-RHOD-PEP\TI-23-PREV-RHOD-PEP.txt","Contig17850_27")</f>
        <v>Contig17850_27</v>
      </c>
      <c r="AZ17" s="3">
        <v>3.9999999999999997E-65</v>
      </c>
      <c r="BA17" t="s">
        <v>1031</v>
      </c>
      <c r="BB17">
        <v>244</v>
      </c>
      <c r="BC17">
        <v>182</v>
      </c>
      <c r="BD17">
        <v>260</v>
      </c>
      <c r="BE17">
        <v>68</v>
      </c>
      <c r="BF17">
        <v>70</v>
      </c>
      <c r="BG17">
        <v>60</v>
      </c>
      <c r="BH17">
        <v>10</v>
      </c>
      <c r="BI17">
        <v>76</v>
      </c>
      <c r="BJ17">
        <v>1</v>
      </c>
      <c r="BK17">
        <v>1</v>
      </c>
      <c r="BL17" t="s">
        <v>538</v>
      </c>
      <c r="BM17">
        <f>HYPERLINK(".\links\GO\TI-23-GO.txt",0.000004)</f>
        <v>3.9999999999999998E-6</v>
      </c>
      <c r="BN17" t="s">
        <v>339</v>
      </c>
      <c r="BO17" t="s">
        <v>340</v>
      </c>
      <c r="BP17" t="s">
        <v>341</v>
      </c>
      <c r="BQ17" t="s">
        <v>342</v>
      </c>
      <c r="BR17">
        <v>3.9999999999999998E-6</v>
      </c>
      <c r="BS17" t="s">
        <v>8</v>
      </c>
      <c r="BT17" t="s">
        <v>8</v>
      </c>
      <c r="BU17" t="s">
        <v>8</v>
      </c>
      <c r="BV17" t="s">
        <v>8</v>
      </c>
      <c r="BW17" t="s">
        <v>8</v>
      </c>
      <c r="BX17" t="s">
        <v>8</v>
      </c>
      <c r="BY17" t="s">
        <v>8</v>
      </c>
      <c r="BZ17" t="s">
        <v>8</v>
      </c>
      <c r="CA17" t="s">
        <v>8</v>
      </c>
      <c r="CB17" t="s">
        <v>8</v>
      </c>
      <c r="CC17" t="s">
        <v>8</v>
      </c>
      <c r="CD17"/>
      <c r="CE17"/>
      <c r="CF17" t="s">
        <v>8</v>
      </c>
      <c r="CG17"/>
      <c r="CH17"/>
      <c r="CI17" t="s">
        <v>8</v>
      </c>
      <c r="CJ17"/>
      <c r="CK17" t="s">
        <v>8</v>
      </c>
      <c r="CL17"/>
      <c r="CM17" t="s">
        <v>8</v>
      </c>
      <c r="CN17"/>
      <c r="CO17" t="s">
        <v>8</v>
      </c>
      <c r="CP17"/>
      <c r="CQ17"/>
      <c r="CR17"/>
      <c r="CS17"/>
      <c r="CT17"/>
      <c r="CU17"/>
      <c r="CV17"/>
      <c r="CW17"/>
      <c r="CX17"/>
      <c r="CY17"/>
      <c r="CZ17"/>
      <c r="DA17"/>
      <c r="DB17"/>
      <c r="DC17" t="s"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20" s="6" customFormat="1">
      <c r="A18" t="str">
        <f>HYPERLINK(".\links\pep\TI-26-pep.txt","TI-26")</f>
        <v>TI-26</v>
      </c>
      <c r="B18">
        <v>26</v>
      </c>
      <c r="C18" t="s">
        <v>13</v>
      </c>
      <c r="D18">
        <v>197</v>
      </c>
      <c r="E18">
        <v>0</v>
      </c>
      <c r="F18" t="str">
        <f>HYPERLINK(".\links\cds\TI-26-cds.txt","TI-26")</f>
        <v>TI-26</v>
      </c>
      <c r="G18">
        <v>594</v>
      </c>
      <c r="H18"/>
      <c r="I18" t="s">
        <v>8</v>
      </c>
      <c r="J18" t="s">
        <v>6</v>
      </c>
      <c r="K18">
        <v>1</v>
      </c>
      <c r="L18">
        <v>0</v>
      </c>
      <c r="M18">
        <f t="shared" si="0"/>
        <v>1</v>
      </c>
      <c r="N18">
        <f t="shared" si="1"/>
        <v>1</v>
      </c>
      <c r="O18" t="s">
        <v>1254</v>
      </c>
      <c r="P18" t="s">
        <v>1196</v>
      </c>
      <c r="Q18" t="str">
        <f>HYPERLINK(".\links\NR-LIGHT\TI-26-NR-LIGHT.txt","NR-LIGHT")</f>
        <v>NR-LIGHT</v>
      </c>
      <c r="R18" s="3">
        <v>2.0000000000000001E-32</v>
      </c>
      <c r="S18">
        <v>16</v>
      </c>
      <c r="T18" t="str">
        <f>HYPERLINK(".\links\NR-LIGHT\TI-26-NR-LIGHT.txt","hypothetical protein TcasGA2_TC002009")</f>
        <v>hypothetical protein TcasGA2_TC002009</v>
      </c>
      <c r="U18" t="str">
        <f>HYPERLINK("http://www.ncbi.nlm.nih.gov/sutils/blink.cgi?pid=270016691","1E-038")</f>
        <v>1E-038</v>
      </c>
      <c r="V18" t="str">
        <f>HYPERLINK("http://www.ncbi.nlm.nih.gov/protein/270016691","gi|270016691")</f>
        <v>gi|270016691</v>
      </c>
      <c r="W18">
        <v>161</v>
      </c>
      <c r="X18">
        <v>191</v>
      </c>
      <c r="Y18">
        <v>797</v>
      </c>
      <c r="Z18">
        <v>43</v>
      </c>
      <c r="AA18">
        <v>24</v>
      </c>
      <c r="AB18">
        <v>109</v>
      </c>
      <c r="AC18">
        <v>3</v>
      </c>
      <c r="AD18">
        <v>73</v>
      </c>
      <c r="AE18">
        <v>4</v>
      </c>
      <c r="AF18">
        <v>1</v>
      </c>
      <c r="AG18"/>
      <c r="AH18" t="s">
        <v>13</v>
      </c>
      <c r="AI18" t="s">
        <v>51</v>
      </c>
      <c r="AJ18" t="s">
        <v>266</v>
      </c>
      <c r="AK18" t="str">
        <f>HYPERLINK(".\links\SWISSP\TI-26-SWISSP.txt","Retrovirus-related Pol polyprotein from transposon opus OS=Drosophila")</f>
        <v>Retrovirus-related Pol polyprotein from transposon opus OS=Drosophila</v>
      </c>
      <c r="AL18" t="str">
        <f>HYPERLINK("http://www.uniprot.org/uniprot/Q8I7P9","4E-008")</f>
        <v>4E-008</v>
      </c>
      <c r="AM18" t="s">
        <v>117</v>
      </c>
      <c r="AN18">
        <v>58.2</v>
      </c>
      <c r="AO18">
        <v>169</v>
      </c>
      <c r="AP18">
        <v>1003</v>
      </c>
      <c r="AQ18">
        <v>30</v>
      </c>
      <c r="AR18">
        <v>17</v>
      </c>
      <c r="AS18">
        <v>132</v>
      </c>
      <c r="AT18">
        <v>23</v>
      </c>
      <c r="AU18">
        <v>803</v>
      </c>
      <c r="AV18">
        <v>8</v>
      </c>
      <c r="AW18">
        <v>1</v>
      </c>
      <c r="AX18" t="s">
        <v>52</v>
      </c>
      <c r="AY18" t="str">
        <f>HYPERLINK(".\links\PREV-RHOD-PEP\TI-26-PREV-RHOD-PEP.txt","Contig18061_163")</f>
        <v>Contig18061_163</v>
      </c>
      <c r="AZ18" s="3">
        <v>5.0000000000000002E-57</v>
      </c>
      <c r="BA18" t="s">
        <v>1032</v>
      </c>
      <c r="BB18">
        <v>216</v>
      </c>
      <c r="BC18">
        <v>183</v>
      </c>
      <c r="BD18">
        <v>455</v>
      </c>
      <c r="BE18">
        <v>60</v>
      </c>
      <c r="BF18">
        <v>40</v>
      </c>
      <c r="BG18">
        <v>72</v>
      </c>
      <c r="BH18">
        <v>4</v>
      </c>
      <c r="BI18">
        <v>219</v>
      </c>
      <c r="BJ18">
        <v>17</v>
      </c>
      <c r="BK18">
        <v>1</v>
      </c>
      <c r="BL18" t="s">
        <v>539</v>
      </c>
      <c r="BM18">
        <f>HYPERLINK(".\links\GO\TI-26-GO.txt",0.000001)</f>
        <v>9.9999999999999995E-7</v>
      </c>
      <c r="BN18" t="s">
        <v>8</v>
      </c>
      <c r="BO18" t="s">
        <v>8</v>
      </c>
      <c r="BP18" t="s">
        <v>8</v>
      </c>
      <c r="BQ18" t="s">
        <v>8</v>
      </c>
      <c r="BR18" t="s">
        <v>8</v>
      </c>
      <c r="BS18" t="s">
        <v>375</v>
      </c>
      <c r="BT18" t="s">
        <v>375</v>
      </c>
      <c r="BU18"/>
      <c r="BV18" t="s">
        <v>376</v>
      </c>
      <c r="BW18">
        <v>9.9999999999999995E-7</v>
      </c>
      <c r="BX18" t="s">
        <v>380</v>
      </c>
      <c r="BY18" t="s">
        <v>340</v>
      </c>
      <c r="BZ18" t="s">
        <v>341</v>
      </c>
      <c r="CA18" t="s">
        <v>381</v>
      </c>
      <c r="CB18">
        <v>9.9999999999999995E-7</v>
      </c>
      <c r="CC18" t="s">
        <v>8</v>
      </c>
      <c r="CD18"/>
      <c r="CE18"/>
      <c r="CF18" t="s">
        <v>8</v>
      </c>
      <c r="CG18"/>
      <c r="CH18"/>
      <c r="CI18" t="s">
        <v>8</v>
      </c>
      <c r="CJ18"/>
      <c r="CK18" t="s">
        <v>8</v>
      </c>
      <c r="CL18"/>
      <c r="CM18" t="s">
        <v>8</v>
      </c>
      <c r="CN18"/>
      <c r="CO18" t="s">
        <v>8</v>
      </c>
      <c r="CP18"/>
      <c r="CQ18"/>
      <c r="CR18"/>
      <c r="CS18"/>
      <c r="CT18"/>
      <c r="CU18"/>
      <c r="CV18"/>
      <c r="CW18"/>
      <c r="CX18"/>
      <c r="CY18"/>
      <c r="CZ18"/>
      <c r="DA18"/>
      <c r="DB18"/>
      <c r="DC18" t="s"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20" s="6" customFormat="1">
      <c r="A19" s="6" t="str">
        <f>HYPERLINK(".\links\pep\TI-31-pep.txt","TI-31")</f>
        <v>TI-31</v>
      </c>
      <c r="B19" s="6">
        <v>31</v>
      </c>
      <c r="C19" s="6" t="s">
        <v>18</v>
      </c>
      <c r="D19" s="6">
        <v>41</v>
      </c>
      <c r="E19" s="6">
        <v>0</v>
      </c>
      <c r="F19" s="6" t="str">
        <f>HYPERLINK(".\links\cds\TI-31-cds.txt","TI-31")</f>
        <v>TI-31</v>
      </c>
      <c r="G19" s="6">
        <v>126</v>
      </c>
      <c r="I19" s="6" t="s">
        <v>8</v>
      </c>
      <c r="J19" s="6" t="s">
        <v>6</v>
      </c>
      <c r="K19" s="6">
        <v>1</v>
      </c>
      <c r="L19" s="6">
        <v>0</v>
      </c>
      <c r="M19" s="6">
        <f t="shared" si="0"/>
        <v>1</v>
      </c>
      <c r="N19" s="6">
        <f t="shared" si="1"/>
        <v>1</v>
      </c>
      <c r="O19" s="6" t="s">
        <v>1170</v>
      </c>
      <c r="P19" s="6" t="s">
        <v>1171</v>
      </c>
      <c r="T19" s="6" t="s">
        <v>8</v>
      </c>
      <c r="AK19" s="6" t="s">
        <v>8</v>
      </c>
      <c r="AY19" s="6" t="s">
        <v>8</v>
      </c>
      <c r="BL19" s="6" t="s">
        <v>8</v>
      </c>
      <c r="CC19" s="6" t="s">
        <v>8</v>
      </c>
      <c r="CF19" s="6" t="s">
        <v>8</v>
      </c>
      <c r="CI19" s="6" t="s">
        <v>8</v>
      </c>
      <c r="CK19" s="6" t="s">
        <v>8</v>
      </c>
      <c r="CM19" s="6" t="s">
        <v>8</v>
      </c>
      <c r="CO19" s="6" t="s">
        <v>8</v>
      </c>
      <c r="DC19" s="6" t="s">
        <v>8</v>
      </c>
    </row>
    <row r="20" spans="1:120" s="6" customFormat="1">
      <c r="A20" s="6" t="str">
        <f>HYPERLINK(".\links\pep\TI-34-pep.txt","TI-34")</f>
        <v>TI-34</v>
      </c>
      <c r="B20" s="6">
        <v>34</v>
      </c>
      <c r="C20" s="6" t="s">
        <v>10</v>
      </c>
      <c r="D20" s="6">
        <v>18</v>
      </c>
      <c r="E20" s="6">
        <v>0</v>
      </c>
      <c r="F20" s="6" t="str">
        <f>HYPERLINK(".\links\cds\TI-34-cds.txt","TI-34")</f>
        <v>TI-34</v>
      </c>
      <c r="G20" s="6">
        <v>57</v>
      </c>
      <c r="I20" s="6" t="s">
        <v>8</v>
      </c>
      <c r="J20" s="6" t="s">
        <v>6</v>
      </c>
      <c r="K20" s="6">
        <v>1</v>
      </c>
      <c r="L20" s="6">
        <v>0</v>
      </c>
      <c r="M20" s="6">
        <f t="shared" si="0"/>
        <v>1</v>
      </c>
      <c r="N20" s="6">
        <f t="shared" si="1"/>
        <v>1</v>
      </c>
      <c r="O20" s="6" t="s">
        <v>1170</v>
      </c>
      <c r="P20" s="6" t="s">
        <v>1171</v>
      </c>
      <c r="T20" s="6" t="s">
        <v>8</v>
      </c>
      <c r="AK20" s="6" t="s">
        <v>8</v>
      </c>
      <c r="AY20" s="6" t="s">
        <v>8</v>
      </c>
      <c r="BL20" s="6" t="s">
        <v>8</v>
      </c>
      <c r="CC20" s="6" t="s">
        <v>8</v>
      </c>
      <c r="CF20" s="6" t="s">
        <v>8</v>
      </c>
      <c r="CI20" s="6" t="s">
        <v>8</v>
      </c>
      <c r="CK20" s="6" t="s">
        <v>8</v>
      </c>
      <c r="CM20" s="6" t="s">
        <v>8</v>
      </c>
      <c r="CO20" s="6" t="s">
        <v>8</v>
      </c>
      <c r="DC20" s="6" t="s">
        <v>8</v>
      </c>
    </row>
    <row r="21" spans="1:120" s="6" customFormat="1">
      <c r="A21" s="6" t="str">
        <f>HYPERLINK(".\links\pep\TI-35-pep.txt","TI-35")</f>
        <v>TI-35</v>
      </c>
      <c r="B21" s="6">
        <v>35</v>
      </c>
      <c r="C21" s="6" t="s">
        <v>25</v>
      </c>
      <c r="D21" s="6">
        <v>22</v>
      </c>
      <c r="E21" s="6">
        <v>0</v>
      </c>
      <c r="F21" s="6" t="str">
        <f>HYPERLINK(".\links\cds\TI-35-cds.txt","TI-35")</f>
        <v>TI-35</v>
      </c>
      <c r="G21" s="6">
        <v>69</v>
      </c>
      <c r="I21" s="6" t="s">
        <v>8</v>
      </c>
      <c r="J21" s="6" t="s">
        <v>6</v>
      </c>
      <c r="K21" s="6">
        <v>1</v>
      </c>
      <c r="L21" s="6">
        <v>0</v>
      </c>
      <c r="M21" s="6">
        <f t="shared" si="0"/>
        <v>1</v>
      </c>
      <c r="N21" s="6">
        <f t="shared" si="1"/>
        <v>1</v>
      </c>
      <c r="O21" s="6" t="s">
        <v>1170</v>
      </c>
      <c r="P21" s="6" t="s">
        <v>1171</v>
      </c>
      <c r="T21" s="6" t="s">
        <v>8</v>
      </c>
      <c r="AK21" s="6" t="s">
        <v>8</v>
      </c>
      <c r="AY21" s="6" t="s">
        <v>8</v>
      </c>
      <c r="BL21" s="6" t="s">
        <v>8</v>
      </c>
      <c r="CC21" s="6" t="s">
        <v>8</v>
      </c>
      <c r="CF21" s="6" t="s">
        <v>8</v>
      </c>
      <c r="CI21" s="6" t="s">
        <v>8</v>
      </c>
      <c r="CK21" s="6" t="s">
        <v>8</v>
      </c>
      <c r="CM21" s="6" t="s">
        <v>8</v>
      </c>
      <c r="CO21" s="6" t="s">
        <v>8</v>
      </c>
      <c r="DC21" s="6" t="s">
        <v>8</v>
      </c>
    </row>
    <row r="22" spans="1:120" s="6" customFormat="1">
      <c r="A22" s="6" t="str">
        <f>HYPERLINK(".\links\pep\TI-36-pep.txt","TI-36")</f>
        <v>TI-36</v>
      </c>
      <c r="B22" s="6">
        <v>36</v>
      </c>
      <c r="C22" s="6" t="s">
        <v>10</v>
      </c>
      <c r="D22" s="6">
        <v>50</v>
      </c>
      <c r="E22" s="6">
        <v>0</v>
      </c>
      <c r="F22" s="6" t="str">
        <f>HYPERLINK(".\links\cds\TI-36-cds.txt","TI-36")</f>
        <v>TI-36</v>
      </c>
      <c r="G22" s="6">
        <v>148</v>
      </c>
      <c r="I22" s="6" t="s">
        <v>8</v>
      </c>
      <c r="J22" s="6" t="s">
        <v>8</v>
      </c>
      <c r="K22" s="6">
        <v>1</v>
      </c>
      <c r="L22" s="6">
        <v>0</v>
      </c>
      <c r="M22" s="6">
        <f t="shared" si="0"/>
        <v>1</v>
      </c>
      <c r="N22" s="6">
        <f t="shared" si="1"/>
        <v>1</v>
      </c>
      <c r="O22" s="6" t="s">
        <v>1170</v>
      </c>
      <c r="P22" s="6" t="s">
        <v>1171</v>
      </c>
      <c r="T22" s="6" t="s">
        <v>8</v>
      </c>
      <c r="AK22" s="6" t="s">
        <v>8</v>
      </c>
      <c r="AY22" s="6" t="s">
        <v>8</v>
      </c>
      <c r="BL22" s="6" t="s">
        <v>8</v>
      </c>
      <c r="CC22" s="6" t="s">
        <v>8</v>
      </c>
      <c r="CF22" s="6" t="s">
        <v>8</v>
      </c>
      <c r="CI22" s="6" t="s">
        <v>8</v>
      </c>
      <c r="CK22" s="6" t="s">
        <v>8</v>
      </c>
      <c r="CM22" s="6" t="s">
        <v>8</v>
      </c>
      <c r="CO22" s="6" t="s">
        <v>8</v>
      </c>
      <c r="DC22" s="6" t="s">
        <v>8</v>
      </c>
    </row>
    <row r="23" spans="1:120" s="6" customFormat="1">
      <c r="A23" s="6" t="str">
        <f>HYPERLINK(".\links\pep\TI-38-pep.txt","TI-38")</f>
        <v>TI-38</v>
      </c>
      <c r="B23" s="6">
        <v>38</v>
      </c>
      <c r="C23" s="6" t="s">
        <v>7</v>
      </c>
      <c r="D23" s="6">
        <v>106</v>
      </c>
      <c r="E23" s="7">
        <v>8.4905659999999994</v>
      </c>
      <c r="F23" s="6" t="str">
        <f>HYPERLINK(".\links\cds\TI-38-cds.txt","TI-38")</f>
        <v>TI-38</v>
      </c>
      <c r="G23" s="6">
        <v>321</v>
      </c>
      <c r="H23" s="6" t="s">
        <v>24</v>
      </c>
      <c r="I23" s="6" t="s">
        <v>29</v>
      </c>
      <c r="J23" s="6" t="s">
        <v>6</v>
      </c>
      <c r="K23" s="6">
        <v>0</v>
      </c>
      <c r="L23" s="6">
        <v>3</v>
      </c>
      <c r="M23" s="6">
        <f t="shared" si="0"/>
        <v>-3</v>
      </c>
      <c r="N23" s="6">
        <f t="shared" si="1"/>
        <v>3</v>
      </c>
      <c r="O23" s="6" t="s">
        <v>1170</v>
      </c>
      <c r="P23" s="6" t="s">
        <v>1171</v>
      </c>
      <c r="T23" s="6" t="str">
        <f>HYPERLINK(".\links\NR-LIGHT\TI-38-NR-LIGHT.txt","hypothetical protein LOC551774")</f>
        <v>hypothetical protein LOC551774</v>
      </c>
      <c r="U23" s="6" t="str">
        <f>HYPERLINK("http://www.ncbi.nlm.nih.gov/sutils/blink.cgi?pid=66506802","1E-004")</f>
        <v>1E-004</v>
      </c>
      <c r="V23" s="6" t="str">
        <f>HYPERLINK("http://www.ncbi.nlm.nih.gov/protein/66506802","gi|66506802")</f>
        <v>gi|66506802</v>
      </c>
      <c r="W23" s="6">
        <v>47.4</v>
      </c>
      <c r="X23" s="6">
        <v>40</v>
      </c>
      <c r="Y23" s="6">
        <v>116</v>
      </c>
      <c r="Z23" s="6">
        <v>65</v>
      </c>
      <c r="AA23" s="6">
        <v>35</v>
      </c>
      <c r="AB23" s="6">
        <v>15</v>
      </c>
      <c r="AC23" s="6">
        <v>2</v>
      </c>
      <c r="AD23" s="6">
        <v>1</v>
      </c>
      <c r="AE23" s="6">
        <v>1</v>
      </c>
      <c r="AF23" s="6">
        <v>1</v>
      </c>
      <c r="AH23" s="6" t="s">
        <v>13</v>
      </c>
      <c r="AI23" s="6" t="s">
        <v>51</v>
      </c>
      <c r="AJ23" s="6" t="s">
        <v>83</v>
      </c>
      <c r="AK23" s="6" t="s">
        <v>8</v>
      </c>
      <c r="AY23" s="6" t="str">
        <f>HYPERLINK(".\links\PREV-RHOD-PEP\TI-38-PREV-RHOD-PEP.txt","Contig17073_25")</f>
        <v>Contig17073_25</v>
      </c>
      <c r="AZ23" s="8">
        <v>1E-14</v>
      </c>
      <c r="BA23" s="6" t="s">
        <v>996</v>
      </c>
      <c r="BB23" s="6">
        <v>74.3</v>
      </c>
      <c r="BC23" s="6">
        <v>43</v>
      </c>
      <c r="BD23" s="6">
        <v>103</v>
      </c>
      <c r="BE23" s="6">
        <v>86</v>
      </c>
      <c r="BF23" s="6">
        <v>43</v>
      </c>
      <c r="BG23" s="6">
        <v>6</v>
      </c>
      <c r="BH23" s="6">
        <v>0</v>
      </c>
      <c r="BI23" s="6">
        <v>1</v>
      </c>
      <c r="BJ23" s="6">
        <v>1</v>
      </c>
      <c r="BK23" s="6">
        <v>1</v>
      </c>
      <c r="BL23" s="6" t="s">
        <v>8</v>
      </c>
      <c r="CC23" s="6" t="s">
        <v>8</v>
      </c>
      <c r="CF23" s="6" t="s">
        <v>8</v>
      </c>
      <c r="CI23" s="6" t="s">
        <v>8</v>
      </c>
      <c r="CK23" s="6" t="s">
        <v>8</v>
      </c>
      <c r="CM23" s="6" t="s">
        <v>8</v>
      </c>
      <c r="CO23" s="6" t="s">
        <v>8</v>
      </c>
      <c r="DC23" s="6" t="s">
        <v>8</v>
      </c>
    </row>
    <row r="24" spans="1:120" s="6" customFormat="1">
      <c r="A24" t="str">
        <f>HYPERLINK(".\links\pep\TI-39-pep.txt","TI-39")</f>
        <v>TI-39</v>
      </c>
      <c r="B24">
        <v>39</v>
      </c>
      <c r="C24" t="s">
        <v>7</v>
      </c>
      <c r="D24">
        <v>230</v>
      </c>
      <c r="E24">
        <v>0</v>
      </c>
      <c r="F24" t="str">
        <f>HYPERLINK(".\links\cds\TI-39-cds.txt","TI-39")</f>
        <v>TI-39</v>
      </c>
      <c r="G24">
        <v>693</v>
      </c>
      <c r="H24"/>
      <c r="I24" t="s">
        <v>29</v>
      </c>
      <c r="J24" t="s">
        <v>6</v>
      </c>
      <c r="K24">
        <v>0</v>
      </c>
      <c r="L24">
        <v>1</v>
      </c>
      <c r="M24">
        <f t="shared" si="0"/>
        <v>-1</v>
      </c>
      <c r="N24">
        <f t="shared" si="1"/>
        <v>1</v>
      </c>
      <c r="O24" t="s">
        <v>1255</v>
      </c>
      <c r="P24" t="s">
        <v>1178</v>
      </c>
      <c r="Q24" t="str">
        <f>HYPERLINK(".\links\GO\TI-39-GO.txt","GO")</f>
        <v>GO</v>
      </c>
      <c r="R24" s="3">
        <v>2.0000000000000001E-32</v>
      </c>
      <c r="S24">
        <v>54</v>
      </c>
      <c r="T24" t="str">
        <f>HYPERLINK(".\links\NR-LIGHT\TI-39-NR-LIGHT.txt","CG1542")</f>
        <v>CG1542</v>
      </c>
      <c r="U24" t="str">
        <f>HYPERLINK("http://www.ncbi.nlm.nih.gov/sutils/blink.cgi?pid=21357767","2E-031")</f>
        <v>2E-031</v>
      </c>
      <c r="V24" t="str">
        <f>HYPERLINK("http://www.ncbi.nlm.nih.gov/protein/21357767","gi|21357767")</f>
        <v>gi|21357767</v>
      </c>
      <c r="W24">
        <v>137</v>
      </c>
      <c r="X24">
        <v>164</v>
      </c>
      <c r="Y24">
        <v>307</v>
      </c>
      <c r="Z24">
        <v>43</v>
      </c>
      <c r="AA24">
        <v>54</v>
      </c>
      <c r="AB24">
        <v>94</v>
      </c>
      <c r="AC24">
        <v>18</v>
      </c>
      <c r="AD24">
        <v>23</v>
      </c>
      <c r="AE24">
        <v>54</v>
      </c>
      <c r="AF24">
        <v>1</v>
      </c>
      <c r="AG24"/>
      <c r="AH24" t="s">
        <v>13</v>
      </c>
      <c r="AI24" t="s">
        <v>51</v>
      </c>
      <c r="AJ24" t="s">
        <v>277</v>
      </c>
      <c r="AK24" t="str">
        <f>HYPERLINK(".\links\SWISSP\TI-39-SWISSP.txt","Probable rRNA-processing protein EBP2 homolog OS=Drosophila melanogaster")</f>
        <v>Probable rRNA-processing protein EBP2 homolog OS=Drosophila melanogaster</v>
      </c>
      <c r="AL24" t="str">
        <f>HYPERLINK("http://www.uniprot.org/uniprot/Q9V9Z9","6E-032")</f>
        <v>6E-032</v>
      </c>
      <c r="AM24" t="s">
        <v>118</v>
      </c>
      <c r="AN24">
        <v>137</v>
      </c>
      <c r="AO24">
        <v>164</v>
      </c>
      <c r="AP24">
        <v>307</v>
      </c>
      <c r="AQ24">
        <v>43</v>
      </c>
      <c r="AR24">
        <v>54</v>
      </c>
      <c r="AS24">
        <v>94</v>
      </c>
      <c r="AT24">
        <v>18</v>
      </c>
      <c r="AU24">
        <v>23</v>
      </c>
      <c r="AV24">
        <v>54</v>
      </c>
      <c r="AW24">
        <v>1</v>
      </c>
      <c r="AX24" t="s">
        <v>52</v>
      </c>
      <c r="AY24" t="str">
        <f>HYPERLINK(".\links\PREV-RHOD-PEP\TI-39-PREV-RHOD-PEP.txt","Contig17709_31")</f>
        <v>Contig17709_31</v>
      </c>
      <c r="AZ24" s="3">
        <v>3.9999999999999998E-80</v>
      </c>
      <c r="BA24" t="s">
        <v>1034</v>
      </c>
      <c r="BB24">
        <v>293</v>
      </c>
      <c r="BC24">
        <v>201</v>
      </c>
      <c r="BD24">
        <v>294</v>
      </c>
      <c r="BE24">
        <v>73</v>
      </c>
      <c r="BF24">
        <v>69</v>
      </c>
      <c r="BG24">
        <v>54</v>
      </c>
      <c r="BH24">
        <v>0</v>
      </c>
      <c r="BI24">
        <v>1</v>
      </c>
      <c r="BJ24">
        <v>1</v>
      </c>
      <c r="BK24">
        <v>1</v>
      </c>
      <c r="BL24" t="s">
        <v>541</v>
      </c>
      <c r="BM24">
        <f>HYPERLINK(".\links\GO\TI-39-GO.txt",2E-32)</f>
        <v>2.0000000000000001E-32</v>
      </c>
      <c r="BN24" t="s">
        <v>373</v>
      </c>
      <c r="BO24" t="s">
        <v>373</v>
      </c>
      <c r="BP24"/>
      <c r="BQ24" t="s">
        <v>374</v>
      </c>
      <c r="BR24" s="3">
        <v>2.0000000000000001E-32</v>
      </c>
      <c r="BS24" t="s">
        <v>513</v>
      </c>
      <c r="BT24" t="s">
        <v>477</v>
      </c>
      <c r="BU24" t="s">
        <v>477</v>
      </c>
      <c r="BV24" t="s">
        <v>514</v>
      </c>
      <c r="BW24" s="3">
        <v>2.0000000000000001E-32</v>
      </c>
      <c r="BX24" t="s">
        <v>515</v>
      </c>
      <c r="BY24" t="s">
        <v>373</v>
      </c>
      <c r="BZ24"/>
      <c r="CA24" t="s">
        <v>516</v>
      </c>
      <c r="CB24" s="3">
        <v>2.0000000000000001E-32</v>
      </c>
      <c r="CC24" t="s">
        <v>8</v>
      </c>
      <c r="CD24"/>
      <c r="CE24"/>
      <c r="CF24" t="s">
        <v>8</v>
      </c>
      <c r="CG24"/>
      <c r="CH24"/>
      <c r="CI24" t="s">
        <v>8</v>
      </c>
      <c r="CJ24"/>
      <c r="CK24" t="s">
        <v>8</v>
      </c>
      <c r="CL24"/>
      <c r="CM24" t="s">
        <v>8</v>
      </c>
      <c r="CN24"/>
      <c r="CO24" t="s">
        <v>8</v>
      </c>
      <c r="CP24"/>
      <c r="CQ24"/>
      <c r="CR24"/>
      <c r="CS24"/>
      <c r="CT24"/>
      <c r="CU24"/>
      <c r="CV24"/>
      <c r="CW24"/>
      <c r="CX24"/>
      <c r="CY24"/>
      <c r="CZ24"/>
      <c r="DA24"/>
      <c r="DB24"/>
      <c r="DC24" t="s"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:120" s="6" customFormat="1">
      <c r="A25" t="str">
        <f>HYPERLINK(".\links\pep\TI-40-pep.txt","TI-40")</f>
        <v>TI-40</v>
      </c>
      <c r="B25">
        <v>40</v>
      </c>
      <c r="C25" t="s">
        <v>26</v>
      </c>
      <c r="D25">
        <v>233</v>
      </c>
      <c r="E25">
        <v>0</v>
      </c>
      <c r="F25" t="str">
        <f>HYPERLINK(".\links\cds\TI-40-cds.txt","TI-40")</f>
        <v>TI-40</v>
      </c>
      <c r="G25">
        <v>697</v>
      </c>
      <c r="H25"/>
      <c r="I25" t="s">
        <v>8</v>
      </c>
      <c r="J25" t="s">
        <v>8</v>
      </c>
      <c r="K25">
        <v>2</v>
      </c>
      <c r="L25">
        <v>0</v>
      </c>
      <c r="M25">
        <f t="shared" si="0"/>
        <v>2</v>
      </c>
      <c r="N25">
        <f t="shared" si="1"/>
        <v>2</v>
      </c>
      <c r="O25" t="s">
        <v>1182</v>
      </c>
      <c r="P25" t="s">
        <v>1169</v>
      </c>
      <c r="Q25" t="str">
        <f>HYPERLINK(".\links\GO\TI-40-GO.txt","GO")</f>
        <v>GO</v>
      </c>
      <c r="R25" s="3">
        <v>2.9999999999999999E-41</v>
      </c>
      <c r="S25">
        <v>3</v>
      </c>
      <c r="T25" t="str">
        <f>HYPERLINK(".\links\NR-LIGHT\TI-40-NR-LIGHT.txt","hypothetical protein TcasGA2_TC012900")</f>
        <v>hypothetical protein TcasGA2_TC012900</v>
      </c>
      <c r="U25" t="str">
        <f>HYPERLINK("http://www.ncbi.nlm.nih.gov/sutils/blink.cgi?pid=270016051","1E-074")</f>
        <v>1E-074</v>
      </c>
      <c r="V25" t="str">
        <f>HYPERLINK("http://www.ncbi.nlm.nih.gov/protein/270016051","gi|270016051")</f>
        <v>gi|270016051</v>
      </c>
      <c r="W25">
        <v>281</v>
      </c>
      <c r="X25">
        <v>228</v>
      </c>
      <c r="Y25">
        <v>1457</v>
      </c>
      <c r="Z25">
        <v>62</v>
      </c>
      <c r="AA25">
        <v>16</v>
      </c>
      <c r="AB25">
        <v>87</v>
      </c>
      <c r="AC25">
        <v>10</v>
      </c>
      <c r="AD25">
        <v>1085</v>
      </c>
      <c r="AE25">
        <v>15</v>
      </c>
      <c r="AF25">
        <v>1</v>
      </c>
      <c r="AG25"/>
      <c r="AH25" t="s">
        <v>13</v>
      </c>
      <c r="AI25" t="s">
        <v>51</v>
      </c>
      <c r="AJ25" t="s">
        <v>266</v>
      </c>
      <c r="AK25" t="str">
        <f>HYPERLINK(".\links\SWISSP\TI-40-SWISSP.txt","Midasin OS=Homo sapiens GN=MDN1 PE=1 SV=2")</f>
        <v>Midasin OS=Homo sapiens GN=MDN1 PE=1 SV=2</v>
      </c>
      <c r="AL25" t="str">
        <f>HYPERLINK("http://www.uniprot.org/uniprot/Q9NU22","7E-053")</f>
        <v>7E-053</v>
      </c>
      <c r="AM25" t="s">
        <v>119</v>
      </c>
      <c r="AN25">
        <v>207</v>
      </c>
      <c r="AO25">
        <v>164</v>
      </c>
      <c r="AP25">
        <v>5596</v>
      </c>
      <c r="AQ25">
        <v>60</v>
      </c>
      <c r="AR25">
        <v>3</v>
      </c>
      <c r="AS25">
        <v>66</v>
      </c>
      <c r="AT25">
        <v>7</v>
      </c>
      <c r="AU25">
        <v>5284</v>
      </c>
      <c r="AV25">
        <v>74</v>
      </c>
      <c r="AW25">
        <v>1</v>
      </c>
      <c r="AX25" t="s">
        <v>68</v>
      </c>
      <c r="AY25" t="str">
        <f>HYPERLINK(".\links\PREV-RHOD-PEP\TI-40-PREV-RHOD-PEP.txt","Contig17834_1")</f>
        <v>Contig17834_1</v>
      </c>
      <c r="AZ25" s="3">
        <v>9.9999999999999999E-119</v>
      </c>
      <c r="BA25" t="s">
        <v>1035</v>
      </c>
      <c r="BB25">
        <v>420</v>
      </c>
      <c r="BC25">
        <v>222</v>
      </c>
      <c r="BD25">
        <v>1363</v>
      </c>
      <c r="BE25">
        <v>91</v>
      </c>
      <c r="BF25">
        <v>16</v>
      </c>
      <c r="BG25">
        <v>19</v>
      </c>
      <c r="BH25">
        <v>1</v>
      </c>
      <c r="BI25">
        <v>909</v>
      </c>
      <c r="BJ25">
        <v>12</v>
      </c>
      <c r="BK25">
        <v>1</v>
      </c>
      <c r="BL25" t="s">
        <v>542</v>
      </c>
      <c r="BM25">
        <f>HYPERLINK(".\links\GO\TI-40-GO.txt",2E-44)</f>
        <v>1.9999999999999999E-44</v>
      </c>
      <c r="BN25" t="s">
        <v>543</v>
      </c>
      <c r="BO25" t="s">
        <v>345</v>
      </c>
      <c r="BP25" t="s">
        <v>349</v>
      </c>
      <c r="BQ25" t="s">
        <v>544</v>
      </c>
      <c r="BR25" s="3">
        <v>1.9999999999999999E-44</v>
      </c>
      <c r="BS25" t="s">
        <v>447</v>
      </c>
      <c r="BT25" t="s">
        <v>323</v>
      </c>
      <c r="BU25" t="s">
        <v>334</v>
      </c>
      <c r="BV25" t="s">
        <v>448</v>
      </c>
      <c r="BW25" s="3">
        <v>1.9999999999999999E-44</v>
      </c>
      <c r="BX25" t="s">
        <v>545</v>
      </c>
      <c r="BY25" t="s">
        <v>345</v>
      </c>
      <c r="BZ25" t="s">
        <v>349</v>
      </c>
      <c r="CA25" t="s">
        <v>546</v>
      </c>
      <c r="CB25" s="3">
        <v>1.9999999999999999E-44</v>
      </c>
      <c r="CC25" t="s">
        <v>8</v>
      </c>
      <c r="CD25"/>
      <c r="CE25"/>
      <c r="CF25" t="s">
        <v>8</v>
      </c>
      <c r="CG25"/>
      <c r="CH25"/>
      <c r="CI25" t="s">
        <v>8</v>
      </c>
      <c r="CJ25"/>
      <c r="CK25" t="s">
        <v>8</v>
      </c>
      <c r="CL25"/>
      <c r="CM25" t="s">
        <v>8</v>
      </c>
      <c r="CN25"/>
      <c r="CO25" t="s">
        <v>8</v>
      </c>
      <c r="CP25"/>
      <c r="CQ25"/>
      <c r="CR25"/>
      <c r="CS25"/>
      <c r="CT25"/>
      <c r="CU25"/>
      <c r="CV25"/>
      <c r="CW25"/>
      <c r="CX25"/>
      <c r="CY25"/>
      <c r="CZ25"/>
      <c r="DA25"/>
      <c r="DB25"/>
      <c r="DC25" t="s">
        <v>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:120" s="6" customFormat="1">
      <c r="A26" t="str">
        <f>HYPERLINK(".\links\pep\TI-41-pep.txt","TI-41")</f>
        <v>TI-41</v>
      </c>
      <c r="B26">
        <v>41</v>
      </c>
      <c r="C26" t="s">
        <v>7</v>
      </c>
      <c r="D26">
        <v>95</v>
      </c>
      <c r="E26">
        <v>0</v>
      </c>
      <c r="F26" t="str">
        <f>HYPERLINK(".\links\cds\TI-41-cds.txt","TI-41")</f>
        <v>TI-41</v>
      </c>
      <c r="G26">
        <v>288</v>
      </c>
      <c r="H26"/>
      <c r="I26" t="s">
        <v>29</v>
      </c>
      <c r="J26" t="s">
        <v>6</v>
      </c>
      <c r="K26">
        <v>1</v>
      </c>
      <c r="L26">
        <v>2</v>
      </c>
      <c r="M26">
        <f t="shared" si="0"/>
        <v>-1</v>
      </c>
      <c r="N26">
        <f t="shared" si="1"/>
        <v>1</v>
      </c>
      <c r="O26" t="s">
        <v>1256</v>
      </c>
      <c r="P26" t="s">
        <v>1172</v>
      </c>
      <c r="Q26" t="str">
        <f>HYPERLINK(".\links\GO\TI-41-GO.txt","GO")</f>
        <v>GO</v>
      </c>
      <c r="R26" s="3">
        <v>9.0000000000000003E-27</v>
      </c>
      <c r="S26">
        <v>92.9</v>
      </c>
      <c r="T26" t="str">
        <f>HYPERLINK(".\links\NR-LIGHT\TI-41-NR-LIGHT.txt","AGAP009491-PA")</f>
        <v>AGAP009491-PA</v>
      </c>
      <c r="U26" t="str">
        <f>HYPERLINK("http://www.ncbi.nlm.nih.gov/sutils/blink.cgi?pid=118780527","4E-026")</f>
        <v>4E-026</v>
      </c>
      <c r="V26" t="str">
        <f>HYPERLINK("http://www.ncbi.nlm.nih.gov/protein/118780527","gi|118780527")</f>
        <v>gi|118780527</v>
      </c>
      <c r="W26">
        <v>119</v>
      </c>
      <c r="X26">
        <v>90</v>
      </c>
      <c r="Y26">
        <v>99</v>
      </c>
      <c r="Z26">
        <v>56</v>
      </c>
      <c r="AA26">
        <v>92</v>
      </c>
      <c r="AB26">
        <v>40</v>
      </c>
      <c r="AC26">
        <v>0</v>
      </c>
      <c r="AD26">
        <v>9</v>
      </c>
      <c r="AE26">
        <v>3</v>
      </c>
      <c r="AF26">
        <v>1</v>
      </c>
      <c r="AG26"/>
      <c r="AH26" t="s">
        <v>13</v>
      </c>
      <c r="AI26" t="s">
        <v>51</v>
      </c>
      <c r="AJ26" t="s">
        <v>275</v>
      </c>
      <c r="AK26" t="str">
        <f>HYPERLINK(".\links\SWISSP\TI-41-SWISSP.txt","ATP synthase subunit g, mitochondrial OS=Pongo abelii GN=ATP5L PE=3 SV=1")</f>
        <v>ATP synthase subunit g, mitochondrial OS=Pongo abelii GN=ATP5L PE=3 SV=1</v>
      </c>
      <c r="AL26" t="str">
        <f>HYPERLINK("http://www.uniprot.org/uniprot/Q5RFH0","3E-023")</f>
        <v>3E-023</v>
      </c>
      <c r="AM26" t="s">
        <v>120</v>
      </c>
      <c r="AN26">
        <v>107</v>
      </c>
      <c r="AO26">
        <v>101</v>
      </c>
      <c r="AP26">
        <v>103</v>
      </c>
      <c r="AQ26">
        <v>53</v>
      </c>
      <c r="AR26">
        <v>99</v>
      </c>
      <c r="AS26">
        <v>47</v>
      </c>
      <c r="AT26">
        <v>11</v>
      </c>
      <c r="AU26">
        <v>2</v>
      </c>
      <c r="AV26">
        <v>3</v>
      </c>
      <c r="AW26">
        <v>1</v>
      </c>
      <c r="AX26" t="s">
        <v>121</v>
      </c>
      <c r="AY26" t="str">
        <f>HYPERLINK(".\links\PREV-RHOD-PEP\TI-41-PREV-RHOD-PEP.txt","Contig17955_250")</f>
        <v>Contig17955_250</v>
      </c>
      <c r="AZ26" s="3">
        <v>9.0000000000000002E-41</v>
      </c>
      <c r="BA26" t="s">
        <v>1036</v>
      </c>
      <c r="BB26">
        <v>161</v>
      </c>
      <c r="BC26">
        <v>92</v>
      </c>
      <c r="BD26">
        <v>94</v>
      </c>
      <c r="BE26">
        <v>81</v>
      </c>
      <c r="BF26">
        <v>99</v>
      </c>
      <c r="BG26">
        <v>17</v>
      </c>
      <c r="BH26">
        <v>0</v>
      </c>
      <c r="BI26">
        <v>2</v>
      </c>
      <c r="BJ26">
        <v>3</v>
      </c>
      <c r="BK26">
        <v>1</v>
      </c>
      <c r="BL26" t="s">
        <v>547</v>
      </c>
      <c r="BM26">
        <f>HYPERLINK(".\links\GO\TI-41-GO.txt",9E-27)</f>
        <v>9.0000000000000003E-27</v>
      </c>
      <c r="BN26" t="s">
        <v>548</v>
      </c>
      <c r="BO26" t="s">
        <v>345</v>
      </c>
      <c r="BP26" t="s">
        <v>349</v>
      </c>
      <c r="BQ26" t="s">
        <v>549</v>
      </c>
      <c r="BR26" s="3">
        <v>9.0000000000000003E-27</v>
      </c>
      <c r="BS26" t="s">
        <v>550</v>
      </c>
      <c r="BT26" t="s">
        <v>323</v>
      </c>
      <c r="BU26" t="s">
        <v>551</v>
      </c>
      <c r="BV26" t="s">
        <v>552</v>
      </c>
      <c r="BW26" s="3">
        <v>9.0000000000000003E-27</v>
      </c>
      <c r="BX26" t="s">
        <v>553</v>
      </c>
      <c r="BY26" t="s">
        <v>345</v>
      </c>
      <c r="BZ26" t="s">
        <v>349</v>
      </c>
      <c r="CA26" t="s">
        <v>554</v>
      </c>
      <c r="CB26" s="3">
        <v>9.0000000000000003E-27</v>
      </c>
      <c r="CC26" t="s">
        <v>8</v>
      </c>
      <c r="CD26"/>
      <c r="CE26"/>
      <c r="CF26" t="s">
        <v>8</v>
      </c>
      <c r="CG26"/>
      <c r="CH26"/>
      <c r="CI26" t="s">
        <v>8</v>
      </c>
      <c r="CJ26"/>
      <c r="CK26" t="s">
        <v>8</v>
      </c>
      <c r="CL26"/>
      <c r="CM26" t="s">
        <v>8</v>
      </c>
      <c r="CN26"/>
      <c r="CO26" t="s">
        <v>8</v>
      </c>
      <c r="CP26"/>
      <c r="CQ26"/>
      <c r="CR26"/>
      <c r="CS26"/>
      <c r="CT26"/>
      <c r="CU26"/>
      <c r="CV26"/>
      <c r="CW26"/>
      <c r="CX26"/>
      <c r="CY26"/>
      <c r="CZ26"/>
      <c r="DA26"/>
      <c r="DB26"/>
      <c r="DC26" t="s">
        <v>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:120" s="6" customFormat="1">
      <c r="A27" t="str">
        <f>HYPERLINK(".\links\pep\TI-44-pep.txt","TI-44")</f>
        <v>TI-44</v>
      </c>
      <c r="B27">
        <v>44</v>
      </c>
      <c r="C27" t="s">
        <v>11</v>
      </c>
      <c r="D27">
        <v>196</v>
      </c>
      <c r="E27" s="2">
        <v>6.1224489999999996</v>
      </c>
      <c r="F27" t="str">
        <f>HYPERLINK(".\links\cds\TI-44-cds.txt","TI-44")</f>
        <v>TI-44</v>
      </c>
      <c r="G27">
        <v>591</v>
      </c>
      <c r="H27"/>
      <c r="I27" t="s">
        <v>8</v>
      </c>
      <c r="J27" t="s">
        <v>6</v>
      </c>
      <c r="K27">
        <v>1</v>
      </c>
      <c r="L27">
        <v>0</v>
      </c>
      <c r="M27">
        <f t="shared" si="0"/>
        <v>1</v>
      </c>
      <c r="N27">
        <f t="shared" si="1"/>
        <v>1</v>
      </c>
      <c r="O27" t="s">
        <v>1183</v>
      </c>
      <c r="P27" t="s">
        <v>1184</v>
      </c>
      <c r="Q27" t="str">
        <f>HYPERLINK(".\links\NR-LIGHT\TI-44-NR-LIGHT.txt","NR-LIGHT")</f>
        <v>NR-LIGHT</v>
      </c>
      <c r="R27" s="3">
        <v>3.0000000000000001E-54</v>
      </c>
      <c r="S27">
        <v>50</v>
      </c>
      <c r="T27" t="str">
        <f>HYPERLINK(".\links\NR-LIGHT\TI-44-NR-LIGHT.txt","similar to proteasome subunit beta type 5,8")</f>
        <v>similar to proteasome subunit beta type 5,8</v>
      </c>
      <c r="U27" t="str">
        <f>HYPERLINK("http://www.ncbi.nlm.nih.gov/sutils/blink.cgi?pid=91085931","3E-054")</f>
        <v>3E-054</v>
      </c>
      <c r="V27" t="str">
        <f>HYPERLINK("http://www.ncbi.nlm.nih.gov/protein/91085931","gi|91085931")</f>
        <v>gi|91085931</v>
      </c>
      <c r="W27">
        <v>213</v>
      </c>
      <c r="X27">
        <v>141</v>
      </c>
      <c r="Y27">
        <v>279</v>
      </c>
      <c r="Z27">
        <v>68</v>
      </c>
      <c r="AA27">
        <v>51</v>
      </c>
      <c r="AB27">
        <v>45</v>
      </c>
      <c r="AC27">
        <v>0</v>
      </c>
      <c r="AD27">
        <v>31</v>
      </c>
      <c r="AE27">
        <v>53</v>
      </c>
      <c r="AF27">
        <v>1</v>
      </c>
      <c r="AG27"/>
      <c r="AH27" t="s">
        <v>13</v>
      </c>
      <c r="AI27" t="s">
        <v>51</v>
      </c>
      <c r="AJ27" t="s">
        <v>266</v>
      </c>
      <c r="AK27" t="str">
        <f>HYPERLINK(".\links\SWISSP\TI-44-SWISSP.txt","Proteasome subunit beta type-5 OS=Rattus norvegicus GN=Psmb5 PE=1 SV=3")</f>
        <v>Proteasome subunit beta type-5 OS=Rattus norvegicus GN=Psmb5 PE=1 SV=3</v>
      </c>
      <c r="AL27" t="str">
        <f>HYPERLINK("http://www.uniprot.org/uniprot/P28075","1E-038")</f>
        <v>1E-038</v>
      </c>
      <c r="AM27" t="s">
        <v>73</v>
      </c>
      <c r="AN27">
        <v>159</v>
      </c>
      <c r="AO27">
        <v>111</v>
      </c>
      <c r="AP27">
        <v>263</v>
      </c>
      <c r="AQ27">
        <v>65</v>
      </c>
      <c r="AR27">
        <v>43</v>
      </c>
      <c r="AS27">
        <v>39</v>
      </c>
      <c r="AT27">
        <v>0</v>
      </c>
      <c r="AU27">
        <v>51</v>
      </c>
      <c r="AV27">
        <v>83</v>
      </c>
      <c r="AW27">
        <v>1</v>
      </c>
      <c r="AX27" t="s">
        <v>74</v>
      </c>
      <c r="AY27" t="str">
        <f>HYPERLINK(".\links\PREV-RHOD-PEP\TI-44-PREV-RHOD-PEP.txt","Contig17812_13")</f>
        <v>Contig17812_13</v>
      </c>
      <c r="AZ27" s="3">
        <v>2E-85</v>
      </c>
      <c r="BA27" t="s">
        <v>1000</v>
      </c>
      <c r="BB27">
        <v>311</v>
      </c>
      <c r="BC27">
        <v>170</v>
      </c>
      <c r="BD27">
        <v>274</v>
      </c>
      <c r="BE27">
        <v>87</v>
      </c>
      <c r="BF27">
        <v>62</v>
      </c>
      <c r="BG27">
        <v>22</v>
      </c>
      <c r="BH27">
        <v>0</v>
      </c>
      <c r="BI27">
        <v>1</v>
      </c>
      <c r="BJ27">
        <v>24</v>
      </c>
      <c r="BK27">
        <v>1</v>
      </c>
      <c r="BL27" t="s">
        <v>397</v>
      </c>
      <c r="BM27">
        <f>HYPERLINK(".\links\GO\TI-44-GO.txt",5E-47)</f>
        <v>5.0000000000000001E-47</v>
      </c>
      <c r="BN27" t="s">
        <v>387</v>
      </c>
      <c r="BO27" t="s">
        <v>345</v>
      </c>
      <c r="BP27" t="s">
        <v>349</v>
      </c>
      <c r="BQ27" t="s">
        <v>388</v>
      </c>
      <c r="BR27" s="3">
        <v>5.0000000000000001E-47</v>
      </c>
      <c r="BS27" t="s">
        <v>398</v>
      </c>
      <c r="BT27" t="s">
        <v>399</v>
      </c>
      <c r="BU27" t="s">
        <v>400</v>
      </c>
      <c r="BV27" t="s">
        <v>401</v>
      </c>
      <c r="BW27" s="3">
        <v>5.0000000000000001E-47</v>
      </c>
      <c r="BX27" t="s">
        <v>402</v>
      </c>
      <c r="BY27" t="s">
        <v>345</v>
      </c>
      <c r="BZ27" t="s">
        <v>349</v>
      </c>
      <c r="CA27" t="s">
        <v>403</v>
      </c>
      <c r="CB27" s="3">
        <v>5.0000000000000001E-47</v>
      </c>
      <c r="CC27" t="s">
        <v>8</v>
      </c>
      <c r="CD27"/>
      <c r="CE27"/>
      <c r="CF27" t="s">
        <v>8</v>
      </c>
      <c r="CG27"/>
      <c r="CH27"/>
      <c r="CI27" t="s">
        <v>8</v>
      </c>
      <c r="CJ27"/>
      <c r="CK27" t="s">
        <v>8</v>
      </c>
      <c r="CL27"/>
      <c r="CM27" t="s">
        <v>8</v>
      </c>
      <c r="CN27"/>
      <c r="CO27" t="s">
        <v>8</v>
      </c>
      <c r="CP27"/>
      <c r="CQ27"/>
      <c r="CR27"/>
      <c r="CS27"/>
      <c r="CT27"/>
      <c r="CU27"/>
      <c r="CV27"/>
      <c r="CW27"/>
      <c r="CX27"/>
      <c r="CY27"/>
      <c r="CZ27"/>
      <c r="DA27"/>
      <c r="DB27"/>
      <c r="DC27" t="s">
        <v>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</row>
    <row r="28" spans="1:120" s="6" customFormat="1">
      <c r="A28" s="6" t="str">
        <f>HYPERLINK(".\links\pep\TI-45-pep.txt","TI-45")</f>
        <v>TI-45</v>
      </c>
      <c r="B28" s="6">
        <v>45</v>
      </c>
      <c r="C28" s="6" t="s">
        <v>9</v>
      </c>
      <c r="D28" s="6">
        <v>20</v>
      </c>
      <c r="E28" s="6">
        <v>0</v>
      </c>
      <c r="F28" s="6" t="str">
        <f>HYPERLINK(".\links\cds\TI-45-cds.txt","TI-45")</f>
        <v>TI-45</v>
      </c>
      <c r="G28" s="6">
        <v>63</v>
      </c>
      <c r="I28" s="6" t="s">
        <v>8</v>
      </c>
      <c r="J28" s="6" t="s">
        <v>6</v>
      </c>
      <c r="K28" s="6">
        <v>0</v>
      </c>
      <c r="L28" s="6">
        <v>1</v>
      </c>
      <c r="M28" s="6">
        <f t="shared" si="0"/>
        <v>-1</v>
      </c>
      <c r="N28" s="6">
        <f t="shared" si="1"/>
        <v>1</v>
      </c>
      <c r="O28" s="6" t="s">
        <v>1170</v>
      </c>
      <c r="P28" s="6" t="s">
        <v>1171</v>
      </c>
      <c r="T28" s="6" t="s">
        <v>8</v>
      </c>
      <c r="AK28" s="6" t="s">
        <v>8</v>
      </c>
      <c r="AY28" s="6" t="s">
        <v>8</v>
      </c>
      <c r="BL28" s="6" t="s">
        <v>8</v>
      </c>
      <c r="CC28" s="6" t="s">
        <v>8</v>
      </c>
      <c r="CF28" s="6" t="s">
        <v>8</v>
      </c>
      <c r="CI28" s="6" t="s">
        <v>8</v>
      </c>
      <c r="CK28" s="6" t="s">
        <v>8</v>
      </c>
      <c r="CM28" s="6" t="s">
        <v>8</v>
      </c>
      <c r="CO28" s="6" t="s">
        <v>8</v>
      </c>
      <c r="DC28" s="6" t="s">
        <v>8</v>
      </c>
    </row>
    <row r="29" spans="1:120" s="6" customFormat="1">
      <c r="A29" t="str">
        <f>HYPERLINK(".\links\pep\TI-47-pep.txt","TI-47")</f>
        <v>TI-47</v>
      </c>
      <c r="B29">
        <v>47</v>
      </c>
      <c r="C29" t="s">
        <v>7</v>
      </c>
      <c r="D29">
        <v>133</v>
      </c>
      <c r="E29">
        <v>0</v>
      </c>
      <c r="F29" t="str">
        <f>HYPERLINK(".\links\cds\TI-47-cds.txt","TI-47")</f>
        <v>TI-47</v>
      </c>
      <c r="G29">
        <v>402</v>
      </c>
      <c r="H29"/>
      <c r="I29" t="s">
        <v>29</v>
      </c>
      <c r="J29" t="s">
        <v>6</v>
      </c>
      <c r="K29">
        <v>1</v>
      </c>
      <c r="L29">
        <v>0</v>
      </c>
      <c r="M29">
        <f t="shared" si="0"/>
        <v>1</v>
      </c>
      <c r="N29">
        <f t="shared" si="1"/>
        <v>1</v>
      </c>
      <c r="O29" t="s">
        <v>1257</v>
      </c>
      <c r="P29" t="s">
        <v>1178</v>
      </c>
      <c r="Q29" t="str">
        <f>HYPERLINK(".\links\NR-LIGHT\TI-47-NR-LIGHT.txt","NR-LIGHT")</f>
        <v>NR-LIGHT</v>
      </c>
      <c r="R29" s="3">
        <v>6E-37</v>
      </c>
      <c r="S29">
        <v>97</v>
      </c>
      <c r="T29" t="str">
        <f>HYPERLINK(".\links\NR-LIGHT\TI-47-NR-LIGHT.txt","heme-binding protein")</f>
        <v>heme-binding protein</v>
      </c>
      <c r="U29" t="str">
        <f>HYPERLINK("http://www.ncbi.nlm.nih.gov/sutils/blink.cgi?pid=149689110","6E-037")</f>
        <v>6E-037</v>
      </c>
      <c r="V29" t="str">
        <f>HYPERLINK("http://www.ncbi.nlm.nih.gov/protein/149689110","gi|149689110")</f>
        <v>gi|149689110</v>
      </c>
      <c r="W29">
        <v>154</v>
      </c>
      <c r="X29">
        <v>139</v>
      </c>
      <c r="Y29">
        <v>143</v>
      </c>
      <c r="Z29">
        <v>55</v>
      </c>
      <c r="AA29">
        <v>98</v>
      </c>
      <c r="AB29">
        <v>63</v>
      </c>
      <c r="AC29">
        <v>7</v>
      </c>
      <c r="AD29">
        <v>1</v>
      </c>
      <c r="AE29">
        <v>1</v>
      </c>
      <c r="AF29">
        <v>1</v>
      </c>
      <c r="AG29"/>
      <c r="AH29" t="s">
        <v>13</v>
      </c>
      <c r="AI29" t="s">
        <v>51</v>
      </c>
      <c r="AJ29" t="s">
        <v>273</v>
      </c>
      <c r="AK29" t="s">
        <v>8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 t="str">
        <f>HYPERLINK(".\links\PREV-RHOD-PEP\TI-47-PREV-RHOD-PEP.txt","Contig18036_44")</f>
        <v>Contig18036_44</v>
      </c>
      <c r="AZ29" s="3">
        <v>1.0000000000000001E-17</v>
      </c>
      <c r="BA29" t="s">
        <v>1037</v>
      </c>
      <c r="BB29">
        <v>84.3</v>
      </c>
      <c r="BC29">
        <v>127</v>
      </c>
      <c r="BD29">
        <v>128</v>
      </c>
      <c r="BE29">
        <v>37</v>
      </c>
      <c r="BF29">
        <v>100</v>
      </c>
      <c r="BG29">
        <v>80</v>
      </c>
      <c r="BH29">
        <v>3</v>
      </c>
      <c r="BI29">
        <v>1</v>
      </c>
      <c r="BJ29">
        <v>1</v>
      </c>
      <c r="BK29">
        <v>1</v>
      </c>
      <c r="BL29" t="s">
        <v>555</v>
      </c>
      <c r="BM29">
        <f>HYPERLINK(".\links\GO\TI-47-GO.txt",0.004)</f>
        <v>4.0000000000000001E-3</v>
      </c>
      <c r="BN29" t="s">
        <v>556</v>
      </c>
      <c r="BO29" t="s">
        <v>340</v>
      </c>
      <c r="BP29" t="s">
        <v>557</v>
      </c>
      <c r="BQ29" t="s">
        <v>558</v>
      </c>
      <c r="BR29">
        <v>4.0000000000000001E-3</v>
      </c>
      <c r="BS29" t="s">
        <v>501</v>
      </c>
      <c r="BT29" t="s">
        <v>501</v>
      </c>
      <c r="BU29"/>
      <c r="BV29" t="s">
        <v>502</v>
      </c>
      <c r="BW29">
        <v>4.0000000000000001E-3</v>
      </c>
      <c r="BX29" t="s">
        <v>559</v>
      </c>
      <c r="BY29" t="s">
        <v>340</v>
      </c>
      <c r="BZ29" t="s">
        <v>557</v>
      </c>
      <c r="CA29" t="s">
        <v>560</v>
      </c>
      <c r="CB29">
        <v>4.0000000000000001E-3</v>
      </c>
      <c r="CC29" t="s">
        <v>8</v>
      </c>
      <c r="CD29"/>
      <c r="CE29"/>
      <c r="CF29" t="s">
        <v>8</v>
      </c>
      <c r="CG29"/>
      <c r="CH29"/>
      <c r="CI29" t="s">
        <v>8</v>
      </c>
      <c r="CJ29"/>
      <c r="CK29" t="s">
        <v>8</v>
      </c>
      <c r="CL29"/>
      <c r="CM29" t="s">
        <v>8</v>
      </c>
      <c r="CN29"/>
      <c r="CO29" t="s">
        <v>8</v>
      </c>
      <c r="CP29"/>
      <c r="CQ29"/>
      <c r="CR29"/>
      <c r="CS29"/>
      <c r="CT29"/>
      <c r="CU29"/>
      <c r="CV29"/>
      <c r="CW29"/>
      <c r="CX29"/>
      <c r="CY29"/>
      <c r="CZ29"/>
      <c r="DA29"/>
      <c r="DB29"/>
      <c r="DC29" t="s">
        <v>8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s="6" customFormat="1">
      <c r="A30" t="str">
        <f>HYPERLINK(".\links\pep\TI-48-pep.txt","TI-48")</f>
        <v>TI-48</v>
      </c>
      <c r="B30">
        <v>48</v>
      </c>
      <c r="C30" t="s">
        <v>19</v>
      </c>
      <c r="D30">
        <v>188</v>
      </c>
      <c r="E30">
        <v>0</v>
      </c>
      <c r="F30" t="str">
        <f>HYPERLINK(".\links\cds\TI-48-cds.txt","TI-48")</f>
        <v>TI-48</v>
      </c>
      <c r="G30">
        <v>567</v>
      </c>
      <c r="H30"/>
      <c r="I30" t="s">
        <v>8</v>
      </c>
      <c r="J30" t="s">
        <v>6</v>
      </c>
      <c r="K30">
        <v>1</v>
      </c>
      <c r="L30">
        <v>0</v>
      </c>
      <c r="M30">
        <f t="shared" si="0"/>
        <v>1</v>
      </c>
      <c r="N30">
        <f t="shared" si="1"/>
        <v>1</v>
      </c>
      <c r="O30" t="s">
        <v>1258</v>
      </c>
      <c r="P30" t="s">
        <v>1178</v>
      </c>
      <c r="Q30" t="str">
        <f>HYPERLINK(".\links\NR-LIGHT\TI-48-NR-LIGHT.txt","NR-LIGHT")</f>
        <v>NR-LIGHT</v>
      </c>
      <c r="R30" s="3">
        <v>8.0000000000000006E-18</v>
      </c>
      <c r="S30">
        <v>38.5</v>
      </c>
      <c r="T30" t="str">
        <f>HYPERLINK(".\links\NR-LIGHT\TI-48-NR-LIGHT.txt","similar to AGAP004450-PA")</f>
        <v>similar to AGAP004450-PA</v>
      </c>
      <c r="U30" t="str">
        <f>HYPERLINK("http://www.ncbi.nlm.nih.gov/sutils/blink.cgi?pid=91081053","8E-018")</f>
        <v>8E-018</v>
      </c>
      <c r="V30" t="str">
        <f>HYPERLINK("http://www.ncbi.nlm.nih.gov/protein/91081053","gi|91081053")</f>
        <v>gi|91081053</v>
      </c>
      <c r="W30">
        <v>92</v>
      </c>
      <c r="X30">
        <v>121</v>
      </c>
      <c r="Y30">
        <v>322</v>
      </c>
      <c r="Z30">
        <v>40</v>
      </c>
      <c r="AA30">
        <v>38</v>
      </c>
      <c r="AB30">
        <v>74</v>
      </c>
      <c r="AC30">
        <v>2</v>
      </c>
      <c r="AD30">
        <v>144</v>
      </c>
      <c r="AE30">
        <v>49</v>
      </c>
      <c r="AF30">
        <v>1</v>
      </c>
      <c r="AG30"/>
      <c r="AH30" t="s">
        <v>13</v>
      </c>
      <c r="AI30" t="s">
        <v>51</v>
      </c>
      <c r="AJ30" t="s">
        <v>266</v>
      </c>
      <c r="AK30" t="str">
        <f>HYPERLINK(".\links\SWISSP\TI-48-SWISSP.txt","Estradiol 17-beta-dehydrogenase 2 OS=Rattus norvegicus GN=Hsd17b2 PE=2 SV=1")</f>
        <v>Estradiol 17-beta-dehydrogenase 2 OS=Rattus norvegicus GN=Hsd17b2 PE=2 SV=1</v>
      </c>
      <c r="AL30" t="str">
        <f>HYPERLINK("http://www.uniprot.org/uniprot/Q62730","0.003")</f>
        <v>0.003</v>
      </c>
      <c r="AM30" t="s">
        <v>122</v>
      </c>
      <c r="AN30">
        <v>41.6</v>
      </c>
      <c r="AO30">
        <v>103</v>
      </c>
      <c r="AP30">
        <v>381</v>
      </c>
      <c r="AQ30">
        <v>31</v>
      </c>
      <c r="AR30">
        <v>27</v>
      </c>
      <c r="AS30">
        <v>75</v>
      </c>
      <c r="AT30">
        <v>11</v>
      </c>
      <c r="AU30">
        <v>161</v>
      </c>
      <c r="AV30">
        <v>49</v>
      </c>
      <c r="AW30">
        <v>1</v>
      </c>
      <c r="AX30" t="s">
        <v>74</v>
      </c>
      <c r="AY30" t="str">
        <f>HYPERLINK(".\links\PREV-RHOD-PEP\TI-48-PREV-RHOD-PEP.txt","Contig17851_114")</f>
        <v>Contig17851_114</v>
      </c>
      <c r="AZ30" s="3">
        <v>1E-56</v>
      </c>
      <c r="BA30" t="s">
        <v>1033</v>
      </c>
      <c r="BB30">
        <v>214</v>
      </c>
      <c r="BC30">
        <v>125</v>
      </c>
      <c r="BD30">
        <v>213</v>
      </c>
      <c r="BE30">
        <v>84</v>
      </c>
      <c r="BF30">
        <v>59</v>
      </c>
      <c r="BG30">
        <v>19</v>
      </c>
      <c r="BH30">
        <v>0</v>
      </c>
      <c r="BI30">
        <v>13</v>
      </c>
      <c r="BJ30">
        <v>47</v>
      </c>
      <c r="BK30">
        <v>1</v>
      </c>
      <c r="BL30" t="s">
        <v>540</v>
      </c>
      <c r="BM30">
        <f>HYPERLINK(".\links\GO\TI-48-GO.txt",0.00000000003)</f>
        <v>3E-11</v>
      </c>
      <c r="BN30" t="s">
        <v>8</v>
      </c>
      <c r="BO30" t="s">
        <v>8</v>
      </c>
      <c r="BP30" t="s">
        <v>8</v>
      </c>
      <c r="BQ30" t="s">
        <v>8</v>
      </c>
      <c r="BR30" t="s">
        <v>8</v>
      </c>
      <c r="BS30" t="s">
        <v>375</v>
      </c>
      <c r="BT30" t="s">
        <v>375</v>
      </c>
      <c r="BU30"/>
      <c r="BV30" t="s">
        <v>376</v>
      </c>
      <c r="BW30">
        <v>0.01</v>
      </c>
      <c r="BX30" t="s">
        <v>8</v>
      </c>
      <c r="BY30" t="s">
        <v>8</v>
      </c>
      <c r="BZ30" t="s">
        <v>8</v>
      </c>
      <c r="CA30" t="s">
        <v>8</v>
      </c>
      <c r="CB30" t="s">
        <v>8</v>
      </c>
      <c r="CC30" t="s">
        <v>8</v>
      </c>
      <c r="CD30"/>
      <c r="CE30"/>
      <c r="CF30" t="s">
        <v>8</v>
      </c>
      <c r="CG30"/>
      <c r="CH30"/>
      <c r="CI30" t="s">
        <v>8</v>
      </c>
      <c r="CJ30"/>
      <c r="CK30" t="s">
        <v>8</v>
      </c>
      <c r="CL30"/>
      <c r="CM30" t="s">
        <v>8</v>
      </c>
      <c r="CN30"/>
      <c r="CO30" t="s">
        <v>8</v>
      </c>
      <c r="CP30"/>
      <c r="CQ30"/>
      <c r="CR30"/>
      <c r="CS30"/>
      <c r="CT30"/>
      <c r="CU30"/>
      <c r="CV30"/>
      <c r="CW30"/>
      <c r="CX30"/>
      <c r="CY30"/>
      <c r="CZ30"/>
      <c r="DA30"/>
      <c r="DB30"/>
      <c r="DC30" t="s">
        <v>8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s="6" customFormat="1">
      <c r="A31" s="6" t="str">
        <f>HYPERLINK(".\links\pep\TI-50-pep.txt","TI-50")</f>
        <v>TI-50</v>
      </c>
      <c r="B31" s="6">
        <v>50</v>
      </c>
      <c r="C31" s="6" t="s">
        <v>11</v>
      </c>
      <c r="D31" s="6">
        <v>226</v>
      </c>
      <c r="E31" s="6">
        <v>0</v>
      </c>
      <c r="F31" s="6" t="str">
        <f>HYPERLINK(".\links\cds\TI-50-cds.txt","TI-50")</f>
        <v>TI-50</v>
      </c>
      <c r="G31" s="6">
        <v>676</v>
      </c>
      <c r="I31" s="6" t="s">
        <v>8</v>
      </c>
      <c r="J31" s="6" t="s">
        <v>8</v>
      </c>
      <c r="K31" s="6">
        <v>1</v>
      </c>
      <c r="L31" s="6">
        <v>0</v>
      </c>
      <c r="M31" s="6">
        <f t="shared" si="0"/>
        <v>1</v>
      </c>
      <c r="N31" s="6">
        <f t="shared" si="1"/>
        <v>1</v>
      </c>
      <c r="O31" s="6" t="s">
        <v>1170</v>
      </c>
      <c r="P31" s="6" t="s">
        <v>1171</v>
      </c>
      <c r="T31" s="6" t="str">
        <f>HYPERLINK(".\links\NR-LIGHT\TI-50-NR-LIGHT.txt","hypothetical protein")</f>
        <v>hypothetical protein</v>
      </c>
      <c r="U31" s="6" t="str">
        <f>HYPERLINK("http://www.ncbi.nlm.nih.gov/sutils/blink.cgi?pid=156544907","5E-010")</f>
        <v>5E-010</v>
      </c>
      <c r="V31" s="6" t="str">
        <f>HYPERLINK("http://www.ncbi.nlm.nih.gov/protein/156544907","gi|156544907")</f>
        <v>gi|156544907</v>
      </c>
      <c r="W31" s="6">
        <v>66.599999999999994</v>
      </c>
      <c r="X31" s="6">
        <v>1006</v>
      </c>
      <c r="Y31" s="6">
        <v>1493</v>
      </c>
      <c r="Z31" s="6">
        <v>23</v>
      </c>
      <c r="AA31" s="6">
        <v>67</v>
      </c>
      <c r="AB31" s="6">
        <v>139</v>
      </c>
      <c r="AC31" s="6">
        <v>2</v>
      </c>
      <c r="AD31" s="6">
        <v>473</v>
      </c>
      <c r="AE31" s="6">
        <v>22</v>
      </c>
      <c r="AF31" s="6">
        <v>3</v>
      </c>
      <c r="AH31" s="6" t="s">
        <v>13</v>
      </c>
      <c r="AI31" s="6" t="s">
        <v>51</v>
      </c>
      <c r="AJ31" s="6" t="s">
        <v>274</v>
      </c>
      <c r="AK31" s="6" t="s">
        <v>8</v>
      </c>
      <c r="AY31" s="6" t="str">
        <f>HYPERLINK(".\links\PREV-RHOD-PEP\TI-50-PREV-RHOD-PEP.txt","Contig17849_53")</f>
        <v>Contig17849_53</v>
      </c>
      <c r="AZ31" s="8">
        <v>1E-87</v>
      </c>
      <c r="BA31" s="6" t="s">
        <v>1038</v>
      </c>
      <c r="BB31" s="6">
        <v>318</v>
      </c>
      <c r="BC31" s="6">
        <v>215</v>
      </c>
      <c r="BD31" s="6">
        <v>424</v>
      </c>
      <c r="BE31" s="6">
        <v>67</v>
      </c>
      <c r="BF31" s="6">
        <v>51</v>
      </c>
      <c r="BG31" s="6">
        <v>71</v>
      </c>
      <c r="BH31" s="6">
        <v>0</v>
      </c>
      <c r="BI31" s="6">
        <v>2</v>
      </c>
      <c r="BJ31" s="6">
        <v>4</v>
      </c>
      <c r="BK31" s="6">
        <v>1</v>
      </c>
      <c r="BL31" s="6" t="s">
        <v>8</v>
      </c>
      <c r="CC31" s="6" t="s">
        <v>8</v>
      </c>
      <c r="CF31" s="6" t="s">
        <v>8</v>
      </c>
      <c r="CI31" s="6" t="s">
        <v>8</v>
      </c>
      <c r="CK31" s="6" t="s">
        <v>8</v>
      </c>
      <c r="CM31" s="6" t="s">
        <v>8</v>
      </c>
      <c r="CO31" s="6" t="s">
        <v>8</v>
      </c>
      <c r="DC31" s="6" t="s">
        <v>8</v>
      </c>
    </row>
    <row r="32" spans="1:120" s="6" customFormat="1">
      <c r="A32" s="6" t="str">
        <f>HYPERLINK(".\links\pep\TI-51-pep.txt","TI-51")</f>
        <v>TI-51</v>
      </c>
      <c r="B32" s="6">
        <v>51</v>
      </c>
      <c r="C32" s="6" t="s">
        <v>10</v>
      </c>
      <c r="D32" s="6">
        <v>92</v>
      </c>
      <c r="E32" s="6">
        <v>0</v>
      </c>
      <c r="F32" s="6" t="str">
        <f>HYPERLINK(".\links\cds\TI-51-cds.txt","TI-51")</f>
        <v>TI-51</v>
      </c>
      <c r="G32" s="6">
        <v>279</v>
      </c>
      <c r="I32" s="6" t="s">
        <v>8</v>
      </c>
      <c r="J32" s="6" t="s">
        <v>6</v>
      </c>
      <c r="K32" s="6">
        <v>0</v>
      </c>
      <c r="L32" s="6">
        <v>1</v>
      </c>
      <c r="M32" s="6">
        <f t="shared" si="0"/>
        <v>-1</v>
      </c>
      <c r="N32" s="6">
        <f t="shared" si="1"/>
        <v>1</v>
      </c>
      <c r="O32" s="6" t="s">
        <v>1170</v>
      </c>
      <c r="P32" s="6" t="s">
        <v>1171</v>
      </c>
      <c r="T32" s="6" t="s">
        <v>8</v>
      </c>
      <c r="AK32" s="6" t="s">
        <v>8</v>
      </c>
      <c r="AY32" s="6" t="s">
        <v>8</v>
      </c>
      <c r="BL32" s="6" t="s">
        <v>8</v>
      </c>
      <c r="CC32" s="6" t="s">
        <v>8</v>
      </c>
      <c r="CF32" s="6" t="s">
        <v>8</v>
      </c>
      <c r="CI32" s="6" t="s">
        <v>8</v>
      </c>
      <c r="CK32" s="6" t="s">
        <v>8</v>
      </c>
      <c r="CM32" s="6" t="s">
        <v>8</v>
      </c>
      <c r="CO32" s="6" t="s">
        <v>8</v>
      </c>
      <c r="DC32" s="6" t="s">
        <v>8</v>
      </c>
    </row>
    <row r="33" spans="1:120" s="6" customFormat="1">
      <c r="A33" s="6" t="str">
        <f>HYPERLINK(".\links\pep\TI-52-pep.txt","TI-52")</f>
        <v>TI-52</v>
      </c>
      <c r="B33" s="6">
        <v>52</v>
      </c>
      <c r="C33" s="6" t="s">
        <v>27</v>
      </c>
      <c r="D33" s="6">
        <v>35</v>
      </c>
      <c r="E33" s="6">
        <v>0</v>
      </c>
      <c r="F33" s="6" t="str">
        <f>HYPERLINK(".\links\cds\TI-52-cds.txt","TI-52")</f>
        <v>TI-52</v>
      </c>
      <c r="G33" s="6">
        <v>108</v>
      </c>
      <c r="I33" s="6" t="s">
        <v>8</v>
      </c>
      <c r="J33" s="6" t="s">
        <v>6</v>
      </c>
      <c r="K33" s="6">
        <v>1</v>
      </c>
      <c r="L33" s="6">
        <v>0</v>
      </c>
      <c r="M33" s="6">
        <f t="shared" si="0"/>
        <v>1</v>
      </c>
      <c r="N33" s="6">
        <f t="shared" si="1"/>
        <v>1</v>
      </c>
      <c r="O33" s="6" t="s">
        <v>1170</v>
      </c>
      <c r="P33" s="6" t="s">
        <v>1171</v>
      </c>
      <c r="T33" s="6" t="s">
        <v>8</v>
      </c>
      <c r="AK33" s="6" t="s">
        <v>8</v>
      </c>
      <c r="AY33" s="6" t="s">
        <v>8</v>
      </c>
      <c r="BL33" s="6" t="s">
        <v>8</v>
      </c>
      <c r="CC33" s="6" t="s">
        <v>8</v>
      </c>
      <c r="CF33" s="6" t="s">
        <v>8</v>
      </c>
      <c r="CI33" s="6" t="s">
        <v>8</v>
      </c>
      <c r="CK33" s="6" t="s">
        <v>8</v>
      </c>
      <c r="CM33" s="6" t="s">
        <v>8</v>
      </c>
      <c r="CO33" s="6" t="s">
        <v>8</v>
      </c>
      <c r="DC33" s="6" t="s">
        <v>8</v>
      </c>
    </row>
    <row r="34" spans="1:120" s="6" customFormat="1">
      <c r="A34" t="str">
        <f>HYPERLINK(".\links\pep\TI-53-pep.txt","TI-53")</f>
        <v>TI-53</v>
      </c>
      <c r="B34">
        <v>53</v>
      </c>
      <c r="C34" t="s">
        <v>16</v>
      </c>
      <c r="D34">
        <v>100</v>
      </c>
      <c r="E34">
        <v>0</v>
      </c>
      <c r="F34" t="str">
        <f>HYPERLINK(".\links\cds\TI-53-cds.txt","TI-53")</f>
        <v>TI-53</v>
      </c>
      <c r="G34">
        <v>303</v>
      </c>
      <c r="H34"/>
      <c r="I34" t="s">
        <v>8</v>
      </c>
      <c r="J34" t="s">
        <v>6</v>
      </c>
      <c r="K34">
        <v>1</v>
      </c>
      <c r="L34">
        <v>0</v>
      </c>
      <c r="M34">
        <f t="shared" si="0"/>
        <v>1</v>
      </c>
      <c r="N34">
        <f t="shared" si="1"/>
        <v>1</v>
      </c>
      <c r="O34" t="s">
        <v>1259</v>
      </c>
      <c r="P34" t="s">
        <v>1178</v>
      </c>
      <c r="Q34" t="str">
        <f>HYPERLINK(".\links\GO\TI-53-GO.txt","GO")</f>
        <v>GO</v>
      </c>
      <c r="R34" s="3">
        <v>9.9999999999999994E-30</v>
      </c>
      <c r="S34">
        <v>17.600000000000001</v>
      </c>
      <c r="T34" t="str">
        <f>HYPERLINK(".\links\NR-LIGHT\TI-53-NR-LIGHT.txt","CG7920")</f>
        <v>CG7920</v>
      </c>
      <c r="U34" t="str">
        <f>HYPERLINK("http://www.ncbi.nlm.nih.gov/sutils/blink.cgi?pid=21358615","3E-028")</f>
        <v>3E-028</v>
      </c>
      <c r="V34" t="str">
        <f>HYPERLINK("http://www.ncbi.nlm.nih.gov/protein/21358615","gi|21358615")</f>
        <v>gi|21358615</v>
      </c>
      <c r="W34">
        <v>125</v>
      </c>
      <c r="X34">
        <v>83</v>
      </c>
      <c r="Y34">
        <v>477</v>
      </c>
      <c r="Z34">
        <v>67</v>
      </c>
      <c r="AA34">
        <v>18</v>
      </c>
      <c r="AB34">
        <v>27</v>
      </c>
      <c r="AC34">
        <v>0</v>
      </c>
      <c r="AD34">
        <v>114</v>
      </c>
      <c r="AE34">
        <v>4</v>
      </c>
      <c r="AF34">
        <v>1</v>
      </c>
      <c r="AG34"/>
      <c r="AH34" t="s">
        <v>13</v>
      </c>
      <c r="AI34" t="s">
        <v>51</v>
      </c>
      <c r="AJ34" t="s">
        <v>277</v>
      </c>
      <c r="AK34" t="str">
        <f>HYPERLINK(".\links\SWISSP\TI-53-SWISSP.txt","4-hydroxybutyrate coenzyme A transferase OS=Clostridium kluyveri (strain ATCC")</f>
        <v>4-hydroxybutyrate coenzyme A transferase OS=Clostridium kluyveri (strain ATCC</v>
      </c>
      <c r="AL34" t="str">
        <f>HYPERLINK("http://www.uniprot.org/uniprot/P38942","2E-013")</f>
        <v>2E-013</v>
      </c>
      <c r="AM34" t="s">
        <v>123</v>
      </c>
      <c r="AN34">
        <v>74.7</v>
      </c>
      <c r="AO34">
        <v>85</v>
      </c>
      <c r="AP34">
        <v>429</v>
      </c>
      <c r="AQ34">
        <v>40</v>
      </c>
      <c r="AR34">
        <v>20</v>
      </c>
      <c r="AS34">
        <v>51</v>
      </c>
      <c r="AT34">
        <v>0</v>
      </c>
      <c r="AU34">
        <v>72</v>
      </c>
      <c r="AV34">
        <v>1</v>
      </c>
      <c r="AW34">
        <v>1</v>
      </c>
      <c r="AX34" t="s">
        <v>124</v>
      </c>
      <c r="AY34" t="str">
        <f>HYPERLINK(".\links\PREV-RHOD-PEP\TI-53-PREV-RHOD-PEP.txt","Contig17215_4")</f>
        <v>Contig17215_4</v>
      </c>
      <c r="AZ34" s="3">
        <v>3.9999999999999998E-38</v>
      </c>
      <c r="BA34" t="s">
        <v>1039</v>
      </c>
      <c r="BB34">
        <v>152</v>
      </c>
      <c r="BC34">
        <v>96</v>
      </c>
      <c r="BD34">
        <v>554</v>
      </c>
      <c r="BE34">
        <v>76</v>
      </c>
      <c r="BF34">
        <v>18</v>
      </c>
      <c r="BG34">
        <v>23</v>
      </c>
      <c r="BH34">
        <v>1</v>
      </c>
      <c r="BI34">
        <v>190</v>
      </c>
      <c r="BJ34">
        <v>3</v>
      </c>
      <c r="BK34">
        <v>1</v>
      </c>
      <c r="BL34" t="s">
        <v>561</v>
      </c>
      <c r="BM34">
        <f>HYPERLINK(".\links\GO\TI-53-GO.txt",1E-29)</f>
        <v>9.9999999999999994E-30</v>
      </c>
      <c r="BN34" t="s">
        <v>562</v>
      </c>
      <c r="BO34" t="s">
        <v>345</v>
      </c>
      <c r="BP34" t="s">
        <v>346</v>
      </c>
      <c r="BQ34" t="s">
        <v>563</v>
      </c>
      <c r="BR34">
        <v>3.9999999999999998E-7</v>
      </c>
      <c r="BS34" t="s">
        <v>8</v>
      </c>
      <c r="BT34" t="s">
        <v>8</v>
      </c>
      <c r="BU34" t="s">
        <v>8</v>
      </c>
      <c r="BV34" t="s">
        <v>8</v>
      </c>
      <c r="BW34" t="s">
        <v>8</v>
      </c>
      <c r="BX34" t="s">
        <v>564</v>
      </c>
      <c r="BY34" t="s">
        <v>345</v>
      </c>
      <c r="BZ34" t="s">
        <v>346</v>
      </c>
      <c r="CA34" t="s">
        <v>565</v>
      </c>
      <c r="CB34">
        <v>3.9999999999999998E-7</v>
      </c>
      <c r="CC34" t="s">
        <v>8</v>
      </c>
      <c r="CD34"/>
      <c r="CE34"/>
      <c r="CF34" t="s">
        <v>8</v>
      </c>
      <c r="CG34"/>
      <c r="CH34"/>
      <c r="CI34" t="s">
        <v>8</v>
      </c>
      <c r="CJ34"/>
      <c r="CK34" t="s">
        <v>8</v>
      </c>
      <c r="CL34"/>
      <c r="CM34" t="s">
        <v>8</v>
      </c>
      <c r="CN34"/>
      <c r="CO34" t="s">
        <v>8</v>
      </c>
      <c r="CP34"/>
      <c r="CQ34"/>
      <c r="CR34"/>
      <c r="CS34"/>
      <c r="CT34"/>
      <c r="CU34"/>
      <c r="CV34"/>
      <c r="CW34"/>
      <c r="CX34"/>
      <c r="CY34"/>
      <c r="CZ34"/>
      <c r="DA34"/>
      <c r="DB34"/>
      <c r="DC34" t="s">
        <v>8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s="6" customFormat="1">
      <c r="A35" s="6" t="str">
        <f>HYPERLINK(".\links\pep\TI-58-pep.txt","TI-58")</f>
        <v>TI-58</v>
      </c>
      <c r="B35" s="6">
        <v>58</v>
      </c>
      <c r="C35" s="6" t="s">
        <v>11</v>
      </c>
      <c r="D35" s="6">
        <v>22</v>
      </c>
      <c r="E35" s="7">
        <v>9.0909089999999999</v>
      </c>
      <c r="F35" s="6" t="str">
        <f>HYPERLINK(".\links\cds\TI-58-cds.txt","TI-58")</f>
        <v>TI-58</v>
      </c>
      <c r="G35" s="6">
        <v>69</v>
      </c>
      <c r="I35" s="6" t="s">
        <v>8</v>
      </c>
      <c r="J35" s="6" t="s">
        <v>6</v>
      </c>
      <c r="K35" s="6">
        <v>1</v>
      </c>
      <c r="L35" s="6">
        <v>0</v>
      </c>
      <c r="M35" s="6">
        <f t="shared" si="0"/>
        <v>1</v>
      </c>
      <c r="N35" s="6">
        <f t="shared" si="1"/>
        <v>1</v>
      </c>
      <c r="O35" s="6" t="s">
        <v>1170</v>
      </c>
      <c r="P35" s="6" t="s">
        <v>1171</v>
      </c>
      <c r="T35" s="6" t="s">
        <v>8</v>
      </c>
      <c r="AK35" s="6" t="s">
        <v>8</v>
      </c>
      <c r="AY35" s="6" t="s">
        <v>8</v>
      </c>
      <c r="BL35" s="6" t="s">
        <v>8</v>
      </c>
      <c r="CC35" s="6" t="s">
        <v>8</v>
      </c>
      <c r="CF35" s="6" t="s">
        <v>8</v>
      </c>
      <c r="CI35" s="6" t="s">
        <v>8</v>
      </c>
      <c r="CK35" s="6" t="s">
        <v>8</v>
      </c>
      <c r="CM35" s="6" t="s">
        <v>8</v>
      </c>
      <c r="CO35" s="6" t="s">
        <v>8</v>
      </c>
      <c r="DC35" s="6" t="s">
        <v>8</v>
      </c>
    </row>
    <row r="36" spans="1:120" s="6" customFormat="1">
      <c r="A36" t="str">
        <f>HYPERLINK(".\links\pep\TI-61-pep.txt","TI-61")</f>
        <v>TI-61</v>
      </c>
      <c r="B36">
        <v>61</v>
      </c>
      <c r="C36" t="s">
        <v>7</v>
      </c>
      <c r="D36">
        <v>103</v>
      </c>
      <c r="E36" s="2">
        <v>18.4466</v>
      </c>
      <c r="F36" t="str">
        <f>HYPERLINK(".\links\cds\TI-61-cds.txt","TI-61")</f>
        <v>TI-61</v>
      </c>
      <c r="G36">
        <v>312</v>
      </c>
      <c r="H36" t="s">
        <v>24</v>
      </c>
      <c r="I36" t="s">
        <v>29</v>
      </c>
      <c r="J36" t="s">
        <v>6</v>
      </c>
      <c r="K36">
        <v>1</v>
      </c>
      <c r="L36">
        <v>0</v>
      </c>
      <c r="M36">
        <f t="shared" si="0"/>
        <v>1</v>
      </c>
      <c r="N36">
        <f t="shared" si="1"/>
        <v>1</v>
      </c>
      <c r="O36" t="s">
        <v>1260</v>
      </c>
      <c r="P36" t="s">
        <v>1186</v>
      </c>
      <c r="Q36" t="str">
        <f>HYPERLINK(".\links\GO\TI-61-GO.txt","GO")</f>
        <v>GO</v>
      </c>
      <c r="R36" s="3">
        <v>4.9999999999999996E-25</v>
      </c>
      <c r="S36">
        <v>99</v>
      </c>
      <c r="T36" t="str">
        <f>HYPERLINK(".\links\NR-LIGHT\TI-61-NR-LIGHT.txt","hypothetical protein DAPPUDRAFT_303646")</f>
        <v>hypothetical protein DAPPUDRAFT_303646</v>
      </c>
      <c r="U36" t="str">
        <f>HYPERLINK("http://www.ncbi.nlm.nih.gov/sutils/blink.cgi?pid=321454163","5E-026")</f>
        <v>5E-026</v>
      </c>
      <c r="V36" t="str">
        <f>HYPERLINK("http://www.ncbi.nlm.nih.gov/protein/321454163","gi|321454163")</f>
        <v>gi|321454163</v>
      </c>
      <c r="W36">
        <v>118</v>
      </c>
      <c r="X36">
        <v>100</v>
      </c>
      <c r="Y36">
        <v>103</v>
      </c>
      <c r="Z36">
        <v>59</v>
      </c>
      <c r="AA36">
        <v>98</v>
      </c>
      <c r="AB36">
        <v>41</v>
      </c>
      <c r="AC36">
        <v>0</v>
      </c>
      <c r="AD36">
        <v>1</v>
      </c>
      <c r="AE36">
        <v>1</v>
      </c>
      <c r="AF36">
        <v>1</v>
      </c>
      <c r="AG36"/>
      <c r="AH36" t="s">
        <v>13</v>
      </c>
      <c r="AI36" t="s">
        <v>51</v>
      </c>
      <c r="AJ36" t="s">
        <v>270</v>
      </c>
      <c r="AK36" t="str">
        <f>HYPERLINK(".\links\SWISSP\TI-61-SWISSP.txt","Protein enhancer of rudimentary OS=Drosophila virilis GN=e(r) PE=3 SV=1")</f>
        <v>Protein enhancer of rudimentary OS=Drosophila virilis GN=e(r) PE=3 SV=1</v>
      </c>
      <c r="AL36" t="str">
        <f>HYPERLINK("http://www.uniprot.org/uniprot/Q94554","1E-024")</f>
        <v>1E-024</v>
      </c>
      <c r="AM36" t="s">
        <v>59</v>
      </c>
      <c r="AN36">
        <v>111</v>
      </c>
      <c r="AO36">
        <v>102</v>
      </c>
      <c r="AP36">
        <v>104</v>
      </c>
      <c r="AQ36">
        <v>54</v>
      </c>
      <c r="AR36">
        <v>99</v>
      </c>
      <c r="AS36">
        <v>49</v>
      </c>
      <c r="AT36">
        <v>8</v>
      </c>
      <c r="AU36">
        <v>1</v>
      </c>
      <c r="AV36">
        <v>1</v>
      </c>
      <c r="AW36">
        <v>1</v>
      </c>
      <c r="AX36" t="s">
        <v>60</v>
      </c>
      <c r="AY36" t="str">
        <f>HYPERLINK(".\links\PREV-RHOD-PEP\TI-61-PREV-RHOD-PEP.txt","Contig10627_1")</f>
        <v>Contig10627_1</v>
      </c>
      <c r="AZ36" s="3">
        <v>3.9999999999999999E-28</v>
      </c>
      <c r="BA36" t="s">
        <v>989</v>
      </c>
      <c r="BB36">
        <v>119</v>
      </c>
      <c r="BC36">
        <v>95</v>
      </c>
      <c r="BD36">
        <v>358</v>
      </c>
      <c r="BE36">
        <v>64</v>
      </c>
      <c r="BF36">
        <v>27</v>
      </c>
      <c r="BG36">
        <v>34</v>
      </c>
      <c r="BH36">
        <v>0</v>
      </c>
      <c r="BI36">
        <v>122</v>
      </c>
      <c r="BJ36">
        <v>2</v>
      </c>
      <c r="BK36">
        <v>1</v>
      </c>
      <c r="BL36" t="s">
        <v>360</v>
      </c>
      <c r="BM36">
        <f>HYPERLINK(".\links\GO\TI-61-GO.txt",5E-25)</f>
        <v>4.9999999999999996E-25</v>
      </c>
      <c r="BN36" t="s">
        <v>8</v>
      </c>
      <c r="BO36" t="s">
        <v>8</v>
      </c>
      <c r="BP36" t="s">
        <v>8</v>
      </c>
      <c r="BQ36" t="s">
        <v>8</v>
      </c>
      <c r="BR36" t="s">
        <v>8</v>
      </c>
      <c r="BS36" t="s">
        <v>8</v>
      </c>
      <c r="BT36" t="s">
        <v>8</v>
      </c>
      <c r="BU36" t="s">
        <v>8</v>
      </c>
      <c r="BV36" t="s">
        <v>8</v>
      </c>
      <c r="BW36" t="s">
        <v>8</v>
      </c>
      <c r="BX36" t="s">
        <v>361</v>
      </c>
      <c r="BY36" t="s">
        <v>340</v>
      </c>
      <c r="BZ36" t="s">
        <v>341</v>
      </c>
      <c r="CA36" t="s">
        <v>362</v>
      </c>
      <c r="CB36">
        <v>6E-9</v>
      </c>
      <c r="CC36" t="s">
        <v>8</v>
      </c>
      <c r="CD36"/>
      <c r="CE36"/>
      <c r="CF36" t="s">
        <v>8</v>
      </c>
      <c r="CG36"/>
      <c r="CH36"/>
      <c r="CI36" t="s">
        <v>8</v>
      </c>
      <c r="CJ36"/>
      <c r="CK36" t="s">
        <v>8</v>
      </c>
      <c r="CL36"/>
      <c r="CM36" t="s">
        <v>8</v>
      </c>
      <c r="CN36"/>
      <c r="CO36" t="s">
        <v>8</v>
      </c>
      <c r="CP36"/>
      <c r="CQ36"/>
      <c r="CR36"/>
      <c r="CS36"/>
      <c r="CT36"/>
      <c r="CU36"/>
      <c r="CV36"/>
      <c r="CW36"/>
      <c r="CX36"/>
      <c r="CY36"/>
      <c r="CZ36"/>
      <c r="DA36"/>
      <c r="DB36"/>
      <c r="DC36" t="s">
        <v>8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s="6" customFormat="1">
      <c r="A37" t="str">
        <f>HYPERLINK(".\links\pep\TI-63-pep.txt","TI-63")</f>
        <v>TI-63</v>
      </c>
      <c r="B37">
        <v>63</v>
      </c>
      <c r="C37" t="s">
        <v>24</v>
      </c>
      <c r="D37">
        <v>181</v>
      </c>
      <c r="E37">
        <v>0</v>
      </c>
      <c r="F37" t="str">
        <f>HYPERLINK(".\links\cds\TI-63-cds.txt","TI-63")</f>
        <v>TI-63</v>
      </c>
      <c r="G37">
        <v>540</v>
      </c>
      <c r="H37"/>
      <c r="I37" t="s">
        <v>8</v>
      </c>
      <c r="J37" t="s">
        <v>8</v>
      </c>
      <c r="K37">
        <v>1</v>
      </c>
      <c r="L37">
        <v>0</v>
      </c>
      <c r="M37">
        <f t="shared" si="0"/>
        <v>1</v>
      </c>
      <c r="N37">
        <f t="shared" si="1"/>
        <v>1</v>
      </c>
      <c r="O37" t="s">
        <v>1261</v>
      </c>
      <c r="P37" t="s">
        <v>1175</v>
      </c>
      <c r="Q37" t="str">
        <f>HYPERLINK(".\links\NR-LIGHT\TI-63-NR-LIGHT.txt","NR-LIGHT")</f>
        <v>NR-LIGHT</v>
      </c>
      <c r="R37" s="3">
        <v>2.0000000000000001E-37</v>
      </c>
      <c r="S37">
        <v>82.2</v>
      </c>
      <c r="T37" t="str">
        <f>HYPERLINK(".\links\NR-LIGHT\TI-63-NR-LIGHT.txt","cathepsin D (lysosomal aspartyl protease)")</f>
        <v>cathepsin D (lysosomal aspartyl protease)</v>
      </c>
      <c r="U37" t="str">
        <f>HYPERLINK("http://www.ncbi.nlm.nih.gov/sutils/blink.cgi?pid=226476910","2E-037")</f>
        <v>2E-037</v>
      </c>
      <c r="V37" t="str">
        <f>HYPERLINK("http://www.ncbi.nlm.nih.gov/protein/226476910","gi|226476910")</f>
        <v>gi|226476910</v>
      </c>
      <c r="W37">
        <v>157</v>
      </c>
      <c r="X37">
        <v>170</v>
      </c>
      <c r="Y37">
        <v>220</v>
      </c>
      <c r="Z37">
        <v>41</v>
      </c>
      <c r="AA37">
        <v>78</v>
      </c>
      <c r="AB37">
        <v>105</v>
      </c>
      <c r="AC37">
        <v>11</v>
      </c>
      <c r="AD37">
        <v>17</v>
      </c>
      <c r="AE37">
        <v>2</v>
      </c>
      <c r="AF37">
        <v>1</v>
      </c>
      <c r="AG37"/>
      <c r="AH37" t="s">
        <v>13</v>
      </c>
      <c r="AI37" t="s">
        <v>51</v>
      </c>
      <c r="AJ37" t="s">
        <v>137</v>
      </c>
      <c r="AK37" t="str">
        <f>HYPERLINK(".\links\SWISSP\TI-63-SWISSP.txt","Cathepsin D OS=Gallus gallus GN=CTSD PE=1 SV=1")</f>
        <v>Cathepsin D OS=Gallus gallus GN=CTSD PE=1 SV=1</v>
      </c>
      <c r="AL37" t="str">
        <f>HYPERLINK("http://www.uniprot.org/uniprot/Q05744","1E-035")</f>
        <v>1E-035</v>
      </c>
      <c r="AM37" t="s">
        <v>125</v>
      </c>
      <c r="AN37">
        <v>149</v>
      </c>
      <c r="AO37">
        <v>125</v>
      </c>
      <c r="AP37">
        <v>398</v>
      </c>
      <c r="AQ37">
        <v>50</v>
      </c>
      <c r="AR37">
        <v>32</v>
      </c>
      <c r="AS37">
        <v>62</v>
      </c>
      <c r="AT37">
        <v>0</v>
      </c>
      <c r="AU37">
        <v>70</v>
      </c>
      <c r="AV37">
        <v>52</v>
      </c>
      <c r="AW37">
        <v>1</v>
      </c>
      <c r="AX37" t="s">
        <v>126</v>
      </c>
      <c r="AY37" t="str">
        <f>HYPERLINK(".\links\PREV-RHOD-PEP\TI-63-PREV-RHOD-PEP.txt","Contig16285_5")</f>
        <v>Contig16285_5</v>
      </c>
      <c r="AZ37" s="3">
        <v>7.0000000000000006E-83</v>
      </c>
      <c r="BA37" t="s">
        <v>1040</v>
      </c>
      <c r="BB37">
        <v>302</v>
      </c>
      <c r="BC37">
        <v>179</v>
      </c>
      <c r="BD37">
        <v>399</v>
      </c>
      <c r="BE37">
        <v>76</v>
      </c>
      <c r="BF37">
        <v>45</v>
      </c>
      <c r="BG37">
        <v>43</v>
      </c>
      <c r="BH37">
        <v>0</v>
      </c>
      <c r="BI37">
        <v>23</v>
      </c>
      <c r="BJ37">
        <v>1</v>
      </c>
      <c r="BK37">
        <v>1</v>
      </c>
      <c r="BL37" t="s">
        <v>566</v>
      </c>
      <c r="BM37">
        <f>HYPERLINK(".\links\GO\TI-63-GO.txt",6E-37)</f>
        <v>6E-37</v>
      </c>
      <c r="BN37" t="s">
        <v>455</v>
      </c>
      <c r="BO37" t="s">
        <v>345</v>
      </c>
      <c r="BP37" t="s">
        <v>349</v>
      </c>
      <c r="BQ37" t="s">
        <v>456</v>
      </c>
      <c r="BR37" s="3">
        <v>3.9999999999999998E-36</v>
      </c>
      <c r="BS37" t="s">
        <v>457</v>
      </c>
      <c r="BT37" t="s">
        <v>323</v>
      </c>
      <c r="BU37" t="s">
        <v>334</v>
      </c>
      <c r="BV37" t="s">
        <v>458</v>
      </c>
      <c r="BW37" s="3">
        <v>3.9999999999999998E-36</v>
      </c>
      <c r="BX37" t="s">
        <v>459</v>
      </c>
      <c r="BY37" t="s">
        <v>345</v>
      </c>
      <c r="BZ37" t="s">
        <v>349</v>
      </c>
      <c r="CA37" t="s">
        <v>460</v>
      </c>
      <c r="CB37" s="3">
        <v>3.9999999999999998E-36</v>
      </c>
      <c r="CC37" t="s">
        <v>8</v>
      </c>
      <c r="CD37"/>
      <c r="CE37"/>
      <c r="CF37" t="s">
        <v>8</v>
      </c>
      <c r="CG37"/>
      <c r="CH37"/>
      <c r="CI37" t="s">
        <v>8</v>
      </c>
      <c r="CJ37"/>
      <c r="CK37" t="s">
        <v>8</v>
      </c>
      <c r="CL37"/>
      <c r="CM37" t="s">
        <v>8</v>
      </c>
      <c r="CN37"/>
      <c r="CO37" t="s">
        <v>8</v>
      </c>
      <c r="CP37"/>
      <c r="CQ37"/>
      <c r="CR37"/>
      <c r="CS37"/>
      <c r="CT37"/>
      <c r="CU37"/>
      <c r="CV37"/>
      <c r="CW37"/>
      <c r="CX37"/>
      <c r="CY37"/>
      <c r="CZ37"/>
      <c r="DA37"/>
      <c r="DB37"/>
      <c r="DC37" t="s">
        <v>8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s="6" customFormat="1">
      <c r="A38" t="str">
        <f>HYPERLINK(".\links\pep\TI-64-pep.txt","TI-64")</f>
        <v>TI-64</v>
      </c>
      <c r="B38">
        <v>64</v>
      </c>
      <c r="C38" t="s">
        <v>19</v>
      </c>
      <c r="D38">
        <v>223</v>
      </c>
      <c r="E38">
        <v>0</v>
      </c>
      <c r="F38" t="str">
        <f>HYPERLINK(".\links\cds\TI-64-cds.txt","TI-64")</f>
        <v>TI-64</v>
      </c>
      <c r="G38">
        <v>667</v>
      </c>
      <c r="H38"/>
      <c r="I38" t="s">
        <v>8</v>
      </c>
      <c r="J38" t="s">
        <v>8</v>
      </c>
      <c r="K38">
        <v>2</v>
      </c>
      <c r="L38">
        <v>0</v>
      </c>
      <c r="M38">
        <f t="shared" si="0"/>
        <v>2</v>
      </c>
      <c r="N38">
        <f t="shared" si="1"/>
        <v>2</v>
      </c>
      <c r="O38" t="s">
        <v>1262</v>
      </c>
      <c r="P38" t="s">
        <v>1178</v>
      </c>
      <c r="Q38" t="str">
        <f>HYPERLINK(".\links\NR-LIGHT\TI-64-NR-LIGHT.txt","NR-LIGHT")</f>
        <v>NR-LIGHT</v>
      </c>
      <c r="R38" s="3">
        <v>7.0000000000000003E-62</v>
      </c>
      <c r="S38">
        <v>51</v>
      </c>
      <c r="T38" t="str">
        <f>HYPERLINK(".\links\NR-LIGHT\TI-64-NR-LIGHT.txt","heterogeneous nuclear ribonucleoprotein 87F-like")</f>
        <v>heterogeneous nuclear ribonucleoprotein 87F-like</v>
      </c>
      <c r="U38" t="str">
        <f>HYPERLINK("http://www.ncbi.nlm.nih.gov/sutils/blink.cgi?pid=328709829","7E-062")</f>
        <v>7E-062</v>
      </c>
      <c r="V38" t="str">
        <f>HYPERLINK("http://www.ncbi.nlm.nih.gov/protein/328709829","gi|328709829")</f>
        <v>gi|328709829</v>
      </c>
      <c r="W38">
        <v>238</v>
      </c>
      <c r="X38">
        <v>172</v>
      </c>
      <c r="Y38">
        <v>349</v>
      </c>
      <c r="Z38">
        <v>65</v>
      </c>
      <c r="AA38">
        <v>50</v>
      </c>
      <c r="AB38">
        <v>62</v>
      </c>
      <c r="AC38">
        <v>9</v>
      </c>
      <c r="AD38">
        <v>5</v>
      </c>
      <c r="AE38">
        <v>39</v>
      </c>
      <c r="AF38">
        <v>1</v>
      </c>
      <c r="AG38"/>
      <c r="AH38" t="s">
        <v>13</v>
      </c>
      <c r="AI38" t="s">
        <v>51</v>
      </c>
      <c r="AJ38" t="s">
        <v>264</v>
      </c>
      <c r="AK38" t="str">
        <f>HYPERLINK(".\links\SWISSP\TI-64-SWISSP.txt","Heterogeneous nuclear ribonucleoprotein A1 OS=Drosophila melanogaster GN=Hrb98DE")</f>
        <v>Heterogeneous nuclear ribonucleoprotein A1 OS=Drosophila melanogaster GN=Hrb98DE</v>
      </c>
      <c r="AL38" t="str">
        <f>HYPERLINK("http://www.uniprot.org/uniprot/P07909","3E-059")</f>
        <v>3E-059</v>
      </c>
      <c r="AM38" t="s">
        <v>127</v>
      </c>
      <c r="AN38">
        <v>228</v>
      </c>
      <c r="AO38">
        <v>178</v>
      </c>
      <c r="AP38">
        <v>365</v>
      </c>
      <c r="AQ38">
        <v>60</v>
      </c>
      <c r="AR38">
        <v>49</v>
      </c>
      <c r="AS38">
        <v>72</v>
      </c>
      <c r="AT38">
        <v>2</v>
      </c>
      <c r="AU38">
        <v>22</v>
      </c>
      <c r="AV38">
        <v>35</v>
      </c>
      <c r="AW38">
        <v>2</v>
      </c>
      <c r="AX38" t="s">
        <v>52</v>
      </c>
      <c r="AY38" t="str">
        <f>HYPERLINK(".\links\PREV-RHOD-PEP\TI-64-PREV-RHOD-PEP.txt","Contig17966_159")</f>
        <v>Contig17966_159</v>
      </c>
      <c r="AZ38" s="3">
        <v>5.0000000000000002E-98</v>
      </c>
      <c r="BA38" t="s">
        <v>1041</v>
      </c>
      <c r="BB38">
        <v>352</v>
      </c>
      <c r="BC38">
        <v>184</v>
      </c>
      <c r="BD38">
        <v>939</v>
      </c>
      <c r="BE38">
        <v>91</v>
      </c>
      <c r="BF38">
        <v>20</v>
      </c>
      <c r="BG38">
        <v>16</v>
      </c>
      <c r="BH38">
        <v>1</v>
      </c>
      <c r="BI38">
        <v>550</v>
      </c>
      <c r="BJ38">
        <v>35</v>
      </c>
      <c r="BK38">
        <v>1</v>
      </c>
      <c r="BL38" t="s">
        <v>567</v>
      </c>
      <c r="BM38">
        <f>HYPERLINK(".\links\GO\TI-64-GO.txt",1E-59)</f>
        <v>1E-59</v>
      </c>
      <c r="BN38" t="s">
        <v>568</v>
      </c>
      <c r="BO38" t="s">
        <v>340</v>
      </c>
      <c r="BP38" t="s">
        <v>468</v>
      </c>
      <c r="BQ38" t="s">
        <v>569</v>
      </c>
      <c r="BR38" s="3">
        <v>7.0000000000000002E-59</v>
      </c>
      <c r="BS38" t="s">
        <v>570</v>
      </c>
      <c r="BT38" t="s">
        <v>477</v>
      </c>
      <c r="BU38" t="s">
        <v>477</v>
      </c>
      <c r="BV38" t="s">
        <v>571</v>
      </c>
      <c r="BW38" s="3">
        <v>7.0000000000000002E-59</v>
      </c>
      <c r="BX38" t="s">
        <v>572</v>
      </c>
      <c r="BY38" t="s">
        <v>340</v>
      </c>
      <c r="BZ38" t="s">
        <v>468</v>
      </c>
      <c r="CA38" t="s">
        <v>573</v>
      </c>
      <c r="CB38" s="3">
        <v>7.0000000000000002E-59</v>
      </c>
      <c r="CC38" t="s">
        <v>8</v>
      </c>
      <c r="CD38"/>
      <c r="CE38"/>
      <c r="CF38" t="s">
        <v>8</v>
      </c>
      <c r="CG38"/>
      <c r="CH38"/>
      <c r="CI38" t="s">
        <v>8</v>
      </c>
      <c r="CJ38"/>
      <c r="CK38" t="s">
        <v>8</v>
      </c>
      <c r="CL38"/>
      <c r="CM38" t="s">
        <v>8</v>
      </c>
      <c r="CN38"/>
      <c r="CO38" t="s">
        <v>8</v>
      </c>
      <c r="CP38"/>
      <c r="CQ38"/>
      <c r="CR38"/>
      <c r="CS38"/>
      <c r="CT38"/>
      <c r="CU38"/>
      <c r="CV38"/>
      <c r="CW38"/>
      <c r="CX38"/>
      <c r="CY38"/>
      <c r="CZ38"/>
      <c r="DA38"/>
      <c r="DB38"/>
      <c r="DC38" t="s">
        <v>8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s="6" customFormat="1">
      <c r="A39" t="str">
        <f>HYPERLINK(".\links\pep\TI-65-pep.txt","TI-65")</f>
        <v>TI-65</v>
      </c>
      <c r="B39">
        <v>65</v>
      </c>
      <c r="C39" t="s">
        <v>22</v>
      </c>
      <c r="D39">
        <v>134</v>
      </c>
      <c r="E39">
        <v>0</v>
      </c>
      <c r="F39" t="str">
        <f>HYPERLINK(".\links\cds\TI-65-cds.txt","TI-65")</f>
        <v>TI-65</v>
      </c>
      <c r="G39">
        <v>401</v>
      </c>
      <c r="H39"/>
      <c r="I39" t="s">
        <v>8</v>
      </c>
      <c r="J39" t="s">
        <v>8</v>
      </c>
      <c r="K39">
        <v>1</v>
      </c>
      <c r="L39">
        <v>0</v>
      </c>
      <c r="M39">
        <f t="shared" si="0"/>
        <v>1</v>
      </c>
      <c r="N39">
        <f t="shared" si="1"/>
        <v>1</v>
      </c>
      <c r="O39" t="s">
        <v>1263</v>
      </c>
      <c r="P39" t="s">
        <v>1169</v>
      </c>
      <c r="Q39" t="str">
        <f>HYPERLINK(".\links\GO\TI-65-GO.txt","GO")</f>
        <v>GO</v>
      </c>
      <c r="R39">
        <v>4.0000000000000002E-9</v>
      </c>
      <c r="S39">
        <v>36.5</v>
      </c>
      <c r="T39" t="str">
        <f>HYPERLINK(".\links\NR-LIGHT\TI-65-NR-LIGHT.txt","selenophosphate synthase")</f>
        <v>selenophosphate synthase</v>
      </c>
      <c r="U39" t="str">
        <f>HYPERLINK("http://www.ncbi.nlm.nih.gov/sutils/blink.cgi?pid=157115185","2E-033")</f>
        <v>2E-033</v>
      </c>
      <c r="V39" t="str">
        <f>HYPERLINK("http://www.ncbi.nlm.nih.gov/protein/157115185","gi|157115185")</f>
        <v>gi|157115185</v>
      </c>
      <c r="W39">
        <v>143</v>
      </c>
      <c r="X39">
        <v>134</v>
      </c>
      <c r="Y39">
        <v>277</v>
      </c>
      <c r="Z39">
        <v>49</v>
      </c>
      <c r="AA39">
        <v>49</v>
      </c>
      <c r="AB39">
        <v>68</v>
      </c>
      <c r="AC39">
        <v>1</v>
      </c>
      <c r="AD39">
        <v>65</v>
      </c>
      <c r="AE39">
        <v>1</v>
      </c>
      <c r="AF39">
        <v>1</v>
      </c>
      <c r="AG39"/>
      <c r="AH39" t="s">
        <v>13</v>
      </c>
      <c r="AI39" t="s">
        <v>51</v>
      </c>
      <c r="AJ39" t="s">
        <v>76</v>
      </c>
      <c r="AK39" t="str">
        <f>HYPERLINK(".\links\SWISSP\TI-65-SWISSP.txt","Selenide, water dikinase 1 OS=Mus musculus GN=Sephs1 PE=2 SV=1")</f>
        <v>Selenide, water dikinase 1 OS=Mus musculus GN=Sephs1 PE=2 SV=1</v>
      </c>
      <c r="AL39" t="str">
        <f>HYPERLINK("http://www.uniprot.org/uniprot/Q8BH69","7E-034")</f>
        <v>7E-034</v>
      </c>
      <c r="AM39" t="s">
        <v>128</v>
      </c>
      <c r="AN39">
        <v>142</v>
      </c>
      <c r="AO39">
        <v>133</v>
      </c>
      <c r="AP39">
        <v>392</v>
      </c>
      <c r="AQ39">
        <v>48</v>
      </c>
      <c r="AR39">
        <v>34</v>
      </c>
      <c r="AS39">
        <v>69</v>
      </c>
      <c r="AT39">
        <v>0</v>
      </c>
      <c r="AU39">
        <v>162</v>
      </c>
      <c r="AV39">
        <v>1</v>
      </c>
      <c r="AW39">
        <v>1</v>
      </c>
      <c r="AX39" t="s">
        <v>87</v>
      </c>
      <c r="AY39" t="str">
        <f>HYPERLINK(".\links\PREV-RHOD-PEP\TI-65-PREV-RHOD-PEP.txt","Contig16819_4")</f>
        <v>Contig16819_4</v>
      </c>
      <c r="AZ39" s="3">
        <v>5.9999999999999998E-50</v>
      </c>
      <c r="BA39" t="s">
        <v>1042</v>
      </c>
      <c r="BB39">
        <v>191</v>
      </c>
      <c r="BC39">
        <v>118</v>
      </c>
      <c r="BD39">
        <v>203</v>
      </c>
      <c r="BE39">
        <v>78</v>
      </c>
      <c r="BF39">
        <v>59</v>
      </c>
      <c r="BG39">
        <v>26</v>
      </c>
      <c r="BH39">
        <v>5</v>
      </c>
      <c r="BI39">
        <v>5</v>
      </c>
      <c r="BJ39">
        <v>21</v>
      </c>
      <c r="BK39">
        <v>1</v>
      </c>
      <c r="BL39" t="s">
        <v>574</v>
      </c>
      <c r="BM39">
        <f>HYPERLINK(".\links\GO\TI-65-GO.txt",5E-32)</f>
        <v>5.0000000000000004E-32</v>
      </c>
      <c r="BN39" t="s">
        <v>575</v>
      </c>
      <c r="BO39" t="s">
        <v>340</v>
      </c>
      <c r="BP39" t="s">
        <v>576</v>
      </c>
      <c r="BQ39" t="s">
        <v>577</v>
      </c>
      <c r="BR39" s="3">
        <v>6.9999999999999999E-28</v>
      </c>
      <c r="BS39" t="s">
        <v>375</v>
      </c>
      <c r="BT39" t="s">
        <v>375</v>
      </c>
      <c r="BU39"/>
      <c r="BV39" t="s">
        <v>376</v>
      </c>
      <c r="BW39" s="3">
        <v>6.9999999999999999E-28</v>
      </c>
      <c r="BX39" t="s">
        <v>578</v>
      </c>
      <c r="BY39" t="s">
        <v>340</v>
      </c>
      <c r="BZ39" t="s">
        <v>576</v>
      </c>
      <c r="CA39" t="s">
        <v>579</v>
      </c>
      <c r="CB39" s="3">
        <v>6.9999999999999999E-28</v>
      </c>
      <c r="CC39" t="s">
        <v>8</v>
      </c>
      <c r="CD39"/>
      <c r="CE39"/>
      <c r="CF39" t="s">
        <v>8</v>
      </c>
      <c r="CG39"/>
      <c r="CH39"/>
      <c r="CI39" t="s">
        <v>8</v>
      </c>
      <c r="CJ39"/>
      <c r="CK39" t="s">
        <v>8</v>
      </c>
      <c r="CL39"/>
      <c r="CM39" t="s">
        <v>8</v>
      </c>
      <c r="CN39"/>
      <c r="CO39" t="s">
        <v>8</v>
      </c>
      <c r="CP39"/>
      <c r="CQ39"/>
      <c r="CR39"/>
      <c r="CS39"/>
      <c r="CT39"/>
      <c r="CU39"/>
      <c r="CV39"/>
      <c r="CW39"/>
      <c r="CX39"/>
      <c r="CY39"/>
      <c r="CZ39"/>
      <c r="DA39"/>
      <c r="DB39"/>
      <c r="DC39" t="s">
        <v>8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s="6" customFormat="1">
      <c r="A40" s="6" t="str">
        <f>HYPERLINK(".\links\pep\TI-67-pep.txt","TI-67")</f>
        <v>TI-67</v>
      </c>
      <c r="B40" s="6">
        <v>67</v>
      </c>
      <c r="C40" s="6" t="s">
        <v>7</v>
      </c>
      <c r="D40" s="6">
        <v>150</v>
      </c>
      <c r="E40" s="6">
        <v>0</v>
      </c>
      <c r="F40" s="6" t="str">
        <f>HYPERLINK(".\links\cds\TI-67-cds.txt","TI-67")</f>
        <v>TI-67</v>
      </c>
      <c r="G40" s="6">
        <v>449</v>
      </c>
      <c r="I40" s="6" t="s">
        <v>29</v>
      </c>
      <c r="J40" s="6" t="s">
        <v>8</v>
      </c>
      <c r="K40" s="6">
        <v>1</v>
      </c>
      <c r="L40" s="6">
        <v>0</v>
      </c>
      <c r="M40" s="6">
        <f t="shared" si="0"/>
        <v>1</v>
      </c>
      <c r="N40" s="6">
        <f t="shared" si="1"/>
        <v>1</v>
      </c>
      <c r="O40" s="6" t="s">
        <v>1170</v>
      </c>
      <c r="P40" s="6" t="s">
        <v>1171</v>
      </c>
      <c r="T40" s="6" t="s">
        <v>8</v>
      </c>
      <c r="AK40" s="6" t="s">
        <v>8</v>
      </c>
      <c r="AY40" s="6" t="str">
        <f>HYPERLINK(".\links\PREV-RHOD-PEP\TI-67-PREV-RHOD-PEP.txt","Contig17151_4")</f>
        <v>Contig17151_4</v>
      </c>
      <c r="AZ40" s="8">
        <v>2.9999999999999997E-4</v>
      </c>
      <c r="BA40" s="6" t="s">
        <v>1043</v>
      </c>
      <c r="BB40" s="6">
        <v>40</v>
      </c>
      <c r="BC40" s="6">
        <v>17</v>
      </c>
      <c r="BD40" s="6">
        <v>100</v>
      </c>
      <c r="BE40" s="6">
        <v>100</v>
      </c>
      <c r="BF40" s="6">
        <v>18</v>
      </c>
      <c r="BG40" s="6">
        <v>0</v>
      </c>
      <c r="BH40" s="6">
        <v>0</v>
      </c>
      <c r="BI40" s="6">
        <v>64</v>
      </c>
      <c r="BJ40" s="6">
        <v>64</v>
      </c>
      <c r="BK40" s="6">
        <v>1</v>
      </c>
      <c r="BL40" s="6" t="s">
        <v>8</v>
      </c>
      <c r="CC40" s="6" t="s">
        <v>8</v>
      </c>
      <c r="CF40" s="6" t="s">
        <v>8</v>
      </c>
      <c r="CI40" s="6" t="s">
        <v>8</v>
      </c>
      <c r="CK40" s="6" t="s">
        <v>8</v>
      </c>
      <c r="CM40" s="6" t="s">
        <v>8</v>
      </c>
      <c r="CO40" s="6" t="s">
        <v>8</v>
      </c>
      <c r="DC40" s="6" t="s">
        <v>8</v>
      </c>
    </row>
    <row r="41" spans="1:120" s="6" customFormat="1">
      <c r="A41" t="str">
        <f>HYPERLINK(".\links\pep\TI-71-pep.txt","TI-71")</f>
        <v>TI-71</v>
      </c>
      <c r="B41">
        <v>71</v>
      </c>
      <c r="C41" t="s">
        <v>7</v>
      </c>
      <c r="D41">
        <v>129</v>
      </c>
      <c r="E41">
        <v>0</v>
      </c>
      <c r="F41" t="str">
        <f>HYPERLINK(".\links\cds\TI-71-cds.txt","TI-71")</f>
        <v>TI-71</v>
      </c>
      <c r="G41">
        <v>390</v>
      </c>
      <c r="H41"/>
      <c r="I41" t="s">
        <v>29</v>
      </c>
      <c r="J41" t="s">
        <v>6</v>
      </c>
      <c r="K41">
        <v>1</v>
      </c>
      <c r="L41">
        <v>0</v>
      </c>
      <c r="M41">
        <f t="shared" ref="M41:M81" si="2">K41-L41</f>
        <v>1</v>
      </c>
      <c r="N41">
        <f t="shared" ref="N41:N81" si="3">ABS(K41-L41)</f>
        <v>1</v>
      </c>
      <c r="O41" t="s">
        <v>1264</v>
      </c>
      <c r="P41" t="s">
        <v>1188</v>
      </c>
      <c r="Q41" t="str">
        <f>HYPERLINK(".\links\NR-LIGHT\TI-71-NR-LIGHT.txt","NR-LIGHT")</f>
        <v>NR-LIGHT</v>
      </c>
      <c r="R41" s="3">
        <v>1.0000000000000001E-18</v>
      </c>
      <c r="S41">
        <v>20</v>
      </c>
      <c r="T41" t="str">
        <f>HYPERLINK(".\links\NR-LIGHT\TI-71-NR-LIGHT.txt","cytochrome P450 Cyp6b29")</f>
        <v>cytochrome P450 Cyp6b29</v>
      </c>
      <c r="U41" t="str">
        <f>HYPERLINK("http://www.ncbi.nlm.nih.gov/sutils/blink.cgi?pid=163838686","1E-018")</f>
        <v>1E-018</v>
      </c>
      <c r="V41" t="str">
        <f>HYPERLINK("http://www.ncbi.nlm.nih.gov/protein/163838686","gi|163838686")</f>
        <v>gi|163838686</v>
      </c>
      <c r="W41">
        <v>94</v>
      </c>
      <c r="X41">
        <v>99</v>
      </c>
      <c r="Y41">
        <v>505</v>
      </c>
      <c r="Z41">
        <v>44</v>
      </c>
      <c r="AA41">
        <v>20</v>
      </c>
      <c r="AB41">
        <v>56</v>
      </c>
      <c r="AC41">
        <v>1</v>
      </c>
      <c r="AD41">
        <v>25</v>
      </c>
      <c r="AE41">
        <v>29</v>
      </c>
      <c r="AF41">
        <v>1</v>
      </c>
      <c r="AG41"/>
      <c r="AH41" t="s">
        <v>13</v>
      </c>
      <c r="AI41" t="s">
        <v>51</v>
      </c>
      <c r="AJ41" t="s">
        <v>54</v>
      </c>
      <c r="AK41" t="str">
        <f>HYPERLINK(".\links\SWISSP\TI-71-SWISSP.txt","Cytochrome P450 6B1 OS=Papilio polyxenes GN=CYP6B1 PE=1 SV=1")</f>
        <v>Cytochrome P450 6B1 OS=Papilio polyxenes GN=CYP6B1 PE=1 SV=1</v>
      </c>
      <c r="AL41" t="str">
        <f>HYPERLINK("http://www.uniprot.org/uniprot/Q04552","2E-014")</f>
        <v>2E-014</v>
      </c>
      <c r="AM41" t="s">
        <v>129</v>
      </c>
      <c r="AN41">
        <v>77.8</v>
      </c>
      <c r="AO41">
        <v>80</v>
      </c>
      <c r="AP41">
        <v>498</v>
      </c>
      <c r="AQ41">
        <v>43</v>
      </c>
      <c r="AR41">
        <v>16</v>
      </c>
      <c r="AS41">
        <v>46</v>
      </c>
      <c r="AT41">
        <v>0</v>
      </c>
      <c r="AU41">
        <v>22</v>
      </c>
      <c r="AV41">
        <v>28</v>
      </c>
      <c r="AW41">
        <v>1</v>
      </c>
      <c r="AX41" t="s">
        <v>130</v>
      </c>
      <c r="AY41" t="str">
        <f>HYPERLINK(".\links\PREV-RHOD-PEP\TI-71-PREV-RHOD-PEP.txt","Contig17683_7")</f>
        <v>Contig17683_7</v>
      </c>
      <c r="AZ41" s="3">
        <v>5.0000000000000002E-43</v>
      </c>
      <c r="BA41" t="s">
        <v>1044</v>
      </c>
      <c r="BB41">
        <v>169</v>
      </c>
      <c r="BC41">
        <v>128</v>
      </c>
      <c r="BD41">
        <v>555</v>
      </c>
      <c r="BE41">
        <v>62</v>
      </c>
      <c r="BF41">
        <v>23</v>
      </c>
      <c r="BG41">
        <v>49</v>
      </c>
      <c r="BH41">
        <v>0</v>
      </c>
      <c r="BI41">
        <v>42</v>
      </c>
      <c r="BJ41">
        <v>1</v>
      </c>
      <c r="BK41">
        <v>1</v>
      </c>
      <c r="BL41" t="s">
        <v>580</v>
      </c>
      <c r="BM41">
        <f>HYPERLINK(".\links\GO\TI-71-GO.txt",0.00000000006)</f>
        <v>6E-11</v>
      </c>
      <c r="BN41" t="s">
        <v>581</v>
      </c>
      <c r="BO41" t="s">
        <v>581</v>
      </c>
      <c r="BP41"/>
      <c r="BQ41" t="s">
        <v>582</v>
      </c>
      <c r="BR41">
        <v>4.9999999999999998E-7</v>
      </c>
      <c r="BS41" t="s">
        <v>452</v>
      </c>
      <c r="BT41" t="s">
        <v>323</v>
      </c>
      <c r="BU41" t="s">
        <v>390</v>
      </c>
      <c r="BV41" t="s">
        <v>453</v>
      </c>
      <c r="BW41">
        <v>4.9999999999999998E-7</v>
      </c>
      <c r="BX41" t="s">
        <v>583</v>
      </c>
      <c r="BY41" t="s">
        <v>581</v>
      </c>
      <c r="BZ41"/>
      <c r="CA41" t="s">
        <v>584</v>
      </c>
      <c r="CB41">
        <v>4.9999999999999998E-7</v>
      </c>
      <c r="CC41" t="s">
        <v>8</v>
      </c>
      <c r="CD41"/>
      <c r="CE41"/>
      <c r="CF41" t="s">
        <v>8</v>
      </c>
      <c r="CG41"/>
      <c r="CH41"/>
      <c r="CI41" t="s">
        <v>8</v>
      </c>
      <c r="CJ41"/>
      <c r="CK41" t="s">
        <v>8</v>
      </c>
      <c r="CL41"/>
      <c r="CM41" t="s">
        <v>8</v>
      </c>
      <c r="CN41"/>
      <c r="CO41" t="s">
        <v>8</v>
      </c>
      <c r="CP41"/>
      <c r="CQ41"/>
      <c r="CR41"/>
      <c r="CS41"/>
      <c r="CT41"/>
      <c r="CU41"/>
      <c r="CV41"/>
      <c r="CW41"/>
      <c r="CX41"/>
      <c r="CY41"/>
      <c r="CZ41"/>
      <c r="DA41"/>
      <c r="DB41"/>
      <c r="DC41" t="s">
        <v>8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s="6" customFormat="1">
      <c r="A42" s="6" t="str">
        <f>HYPERLINK(".\links\pep\TI-72-pep.txt","TI-72")</f>
        <v>TI-72</v>
      </c>
      <c r="B42" s="6">
        <v>72</v>
      </c>
      <c r="C42" s="6" t="s">
        <v>16</v>
      </c>
      <c r="D42" s="6">
        <v>196</v>
      </c>
      <c r="E42" s="6">
        <v>0</v>
      </c>
      <c r="F42" s="6" t="str">
        <f>HYPERLINK(".\links\cds\TI-72-cds.txt","TI-72")</f>
        <v>TI-72</v>
      </c>
      <c r="G42" s="6">
        <v>591</v>
      </c>
      <c r="I42" s="6" t="s">
        <v>8</v>
      </c>
      <c r="J42" s="6" t="s">
        <v>6</v>
      </c>
      <c r="K42" s="6">
        <v>0</v>
      </c>
      <c r="L42" s="6">
        <v>1</v>
      </c>
      <c r="M42" s="6">
        <f t="shared" si="2"/>
        <v>-1</v>
      </c>
      <c r="N42" s="6">
        <f t="shared" si="3"/>
        <v>1</v>
      </c>
      <c r="O42" s="6" t="s">
        <v>1170</v>
      </c>
      <c r="P42" s="6" t="s">
        <v>1171</v>
      </c>
      <c r="T42" s="6" t="str">
        <f>HYPERLINK(".\links\NR-LIGHT\TI-72-NR-LIGHT.txt","CG17826")</f>
        <v>CG17826</v>
      </c>
      <c r="U42" s="6" t="str">
        <f>HYPERLINK("http://www.ncbi.nlm.nih.gov/sutils/blink.cgi?pid=24663027","2E-005")</f>
        <v>2E-005</v>
      </c>
      <c r="V42" s="6" t="str">
        <f>HYPERLINK("http://www.ncbi.nlm.nih.gov/protein/24663027","gi|24663027")</f>
        <v>gi|24663027</v>
      </c>
      <c r="W42" s="6">
        <v>51.2</v>
      </c>
      <c r="X42" s="6">
        <v>551</v>
      </c>
      <c r="Y42" s="6">
        <v>751</v>
      </c>
      <c r="Z42" s="6">
        <v>22</v>
      </c>
      <c r="AA42" s="6">
        <v>74</v>
      </c>
      <c r="AB42" s="6">
        <v>156</v>
      </c>
      <c r="AC42" s="6">
        <v>21</v>
      </c>
      <c r="AD42" s="6">
        <v>29</v>
      </c>
      <c r="AE42" s="6">
        <v>13</v>
      </c>
      <c r="AF42" s="6">
        <v>6</v>
      </c>
      <c r="AH42" s="6" t="s">
        <v>13</v>
      </c>
      <c r="AI42" s="6" t="s">
        <v>51</v>
      </c>
      <c r="AJ42" s="6" t="s">
        <v>52</v>
      </c>
      <c r="AK42" s="6" t="s">
        <v>8</v>
      </c>
      <c r="AY42" s="6" t="str">
        <f>HYPERLINK(".\links\PREV-RHOD-PEP\TI-72-PREV-RHOD-PEP.txt","Contig17812_36")</f>
        <v>Contig17812_36</v>
      </c>
      <c r="AZ42" s="8">
        <v>2.0000000000000001E-61</v>
      </c>
      <c r="BA42" s="6" t="s">
        <v>1045</v>
      </c>
      <c r="BB42" s="6">
        <v>231</v>
      </c>
      <c r="BC42" s="6">
        <v>195</v>
      </c>
      <c r="BD42" s="6">
        <v>387</v>
      </c>
      <c r="BE42" s="6">
        <v>55</v>
      </c>
      <c r="BF42" s="6">
        <v>51</v>
      </c>
      <c r="BG42" s="6">
        <v>87</v>
      </c>
      <c r="BH42" s="6">
        <v>2</v>
      </c>
      <c r="BI42" s="6">
        <v>6</v>
      </c>
      <c r="BJ42" s="6">
        <v>3</v>
      </c>
      <c r="BK42" s="6">
        <v>1</v>
      </c>
      <c r="BL42" s="6" t="s">
        <v>585</v>
      </c>
      <c r="BM42" s="6">
        <f>HYPERLINK(".\links\GO\TI-72-GO.txt",0.005)</f>
        <v>5.0000000000000001E-3</v>
      </c>
      <c r="BN42" s="6" t="s">
        <v>586</v>
      </c>
      <c r="BO42" s="6" t="s">
        <v>330</v>
      </c>
      <c r="BP42" s="6" t="s">
        <v>587</v>
      </c>
      <c r="BQ42" s="6" t="s">
        <v>588</v>
      </c>
      <c r="BR42" s="6">
        <v>5.0000000000000001E-3</v>
      </c>
      <c r="BS42" s="6" t="s">
        <v>8</v>
      </c>
      <c r="BT42" s="6" t="s">
        <v>8</v>
      </c>
      <c r="BU42" s="6" t="s">
        <v>8</v>
      </c>
      <c r="BV42" s="6" t="s">
        <v>8</v>
      </c>
      <c r="BW42" s="6" t="s">
        <v>8</v>
      </c>
      <c r="BX42" s="6" t="s">
        <v>8</v>
      </c>
      <c r="BY42" s="6" t="s">
        <v>8</v>
      </c>
      <c r="BZ42" s="6" t="s">
        <v>8</v>
      </c>
      <c r="CA42" s="6" t="s">
        <v>8</v>
      </c>
      <c r="CB42" s="6" t="s">
        <v>8</v>
      </c>
      <c r="CC42" s="6" t="s">
        <v>8</v>
      </c>
      <c r="CF42" s="6" t="s">
        <v>8</v>
      </c>
      <c r="CI42" s="6" t="s">
        <v>8</v>
      </c>
      <c r="CK42" s="6" t="s">
        <v>8</v>
      </c>
      <c r="CM42" s="6" t="s">
        <v>8</v>
      </c>
      <c r="CO42" s="6" t="s">
        <v>8</v>
      </c>
      <c r="DC42" s="6" t="s">
        <v>8</v>
      </c>
    </row>
    <row r="43" spans="1:120" s="6" customFormat="1">
      <c r="A43" t="str">
        <f>HYPERLINK(".\links\pep\TI-75-pep.txt","TI-75")</f>
        <v>TI-75</v>
      </c>
      <c r="B43">
        <v>75</v>
      </c>
      <c r="C43" t="s">
        <v>7</v>
      </c>
      <c r="D43">
        <v>117</v>
      </c>
      <c r="E43">
        <v>0</v>
      </c>
      <c r="F43" t="str">
        <f>HYPERLINK(".\links\cds\TI-75-cds.txt","TI-75")</f>
        <v>TI-75</v>
      </c>
      <c r="G43">
        <v>354</v>
      </c>
      <c r="H43"/>
      <c r="I43" t="s">
        <v>29</v>
      </c>
      <c r="J43" t="s">
        <v>6</v>
      </c>
      <c r="K43">
        <v>1</v>
      </c>
      <c r="L43">
        <v>0</v>
      </c>
      <c r="M43">
        <f t="shared" si="2"/>
        <v>1</v>
      </c>
      <c r="N43">
        <f t="shared" si="3"/>
        <v>1</v>
      </c>
      <c r="O43" t="s">
        <v>1265</v>
      </c>
      <c r="P43" t="s">
        <v>1190</v>
      </c>
      <c r="Q43" t="str">
        <f>HYPERLINK(".\links\GO\TI-75-GO.txt","GO")</f>
        <v>GO</v>
      </c>
      <c r="R43" s="3">
        <v>1.9999999999999999E-20</v>
      </c>
      <c r="S43">
        <v>65.599999999999994</v>
      </c>
      <c r="T43" t="str">
        <f>HYPERLINK(".\links\NR-LIGHT\TI-75-NR-LIGHT.txt","hypothetical protein DAPPUDRAFT_218600")</f>
        <v>hypothetical protein DAPPUDRAFT_218600</v>
      </c>
      <c r="U43" t="str">
        <f>HYPERLINK("http://www.ncbi.nlm.nih.gov/sutils/blink.cgi?pid=321456621","3E-021")</f>
        <v>3E-021</v>
      </c>
      <c r="V43" t="str">
        <f>HYPERLINK("http://www.ncbi.nlm.nih.gov/protein/321456621","gi|321456621")</f>
        <v>gi|321456621</v>
      </c>
      <c r="W43">
        <v>102</v>
      </c>
      <c r="X43">
        <v>66</v>
      </c>
      <c r="Y43">
        <v>132</v>
      </c>
      <c r="Z43">
        <v>71</v>
      </c>
      <c r="AA43">
        <v>51</v>
      </c>
      <c r="AB43">
        <v>19</v>
      </c>
      <c r="AC43">
        <v>0</v>
      </c>
      <c r="AD43">
        <v>29</v>
      </c>
      <c r="AE43">
        <v>15</v>
      </c>
      <c r="AF43">
        <v>1</v>
      </c>
      <c r="AG43"/>
      <c r="AH43" t="s">
        <v>13</v>
      </c>
      <c r="AI43" t="s">
        <v>51</v>
      </c>
      <c r="AJ43" t="s">
        <v>270</v>
      </c>
      <c r="AK43" t="str">
        <f>HYPERLINK(".\links\SWISSP\TI-75-SWISSP.txt","Synaptobrevin-1 OS=Caenorhabditis briggsae GN=snb-1 PE=3 SV=1")</f>
        <v>Synaptobrevin-1 OS=Caenorhabditis briggsae GN=snb-1 PE=3 SV=1</v>
      </c>
      <c r="AL43" t="str">
        <f>HYPERLINK("http://www.uniprot.org/uniprot/Q60WU2","4E-019")</f>
        <v>4E-019</v>
      </c>
      <c r="AM43" t="s">
        <v>131</v>
      </c>
      <c r="AN43">
        <v>93.2</v>
      </c>
      <c r="AO43">
        <v>64</v>
      </c>
      <c r="AP43">
        <v>108</v>
      </c>
      <c r="AQ43">
        <v>67</v>
      </c>
      <c r="AR43">
        <v>60</v>
      </c>
      <c r="AS43">
        <v>21</v>
      </c>
      <c r="AT43">
        <v>0</v>
      </c>
      <c r="AU43">
        <v>21</v>
      </c>
      <c r="AV43">
        <v>17</v>
      </c>
      <c r="AW43">
        <v>1</v>
      </c>
      <c r="AX43" t="s">
        <v>132</v>
      </c>
      <c r="AY43" t="str">
        <f>HYPERLINK(".\links\PREV-RHOD-PEP\TI-75-PREV-RHOD-PEP.txt","Contig17909_61")</f>
        <v>Contig17909_61</v>
      </c>
      <c r="AZ43" s="3">
        <v>6E-34</v>
      </c>
      <c r="BA43" t="s">
        <v>1046</v>
      </c>
      <c r="BB43">
        <v>138</v>
      </c>
      <c r="BC43">
        <v>69</v>
      </c>
      <c r="BD43">
        <v>117</v>
      </c>
      <c r="BE43">
        <v>94</v>
      </c>
      <c r="BF43">
        <v>60</v>
      </c>
      <c r="BG43">
        <v>4</v>
      </c>
      <c r="BH43">
        <v>0</v>
      </c>
      <c r="BI43">
        <v>14</v>
      </c>
      <c r="BJ43">
        <v>14</v>
      </c>
      <c r="BK43">
        <v>1</v>
      </c>
      <c r="BL43" t="s">
        <v>589</v>
      </c>
      <c r="BM43">
        <f>HYPERLINK(".\links\GO\TI-75-GO.txt",2E-20)</f>
        <v>1.9999999999999999E-20</v>
      </c>
      <c r="BN43" t="s">
        <v>590</v>
      </c>
      <c r="BO43" t="s">
        <v>340</v>
      </c>
      <c r="BP43" t="s">
        <v>341</v>
      </c>
      <c r="BQ43" t="s">
        <v>591</v>
      </c>
      <c r="BR43" s="3">
        <v>5.0000000000000004E-19</v>
      </c>
      <c r="BS43" t="s">
        <v>438</v>
      </c>
      <c r="BT43" t="s">
        <v>323</v>
      </c>
      <c r="BU43" t="s">
        <v>324</v>
      </c>
      <c r="BV43" t="s">
        <v>439</v>
      </c>
      <c r="BW43" s="3">
        <v>5.0000000000000004E-19</v>
      </c>
      <c r="BX43" t="s">
        <v>592</v>
      </c>
      <c r="BY43" t="s">
        <v>340</v>
      </c>
      <c r="BZ43" t="s">
        <v>341</v>
      </c>
      <c r="CA43" t="s">
        <v>593</v>
      </c>
      <c r="CB43" s="3">
        <v>5.0000000000000004E-19</v>
      </c>
      <c r="CC43" t="s">
        <v>8</v>
      </c>
      <c r="CD43"/>
      <c r="CE43"/>
      <c r="CF43" t="s">
        <v>8</v>
      </c>
      <c r="CG43"/>
      <c r="CH43"/>
      <c r="CI43" t="s">
        <v>8</v>
      </c>
      <c r="CJ43"/>
      <c r="CK43" t="s">
        <v>8</v>
      </c>
      <c r="CL43"/>
      <c r="CM43" t="s">
        <v>8</v>
      </c>
      <c r="CN43"/>
      <c r="CO43" t="s">
        <v>8</v>
      </c>
      <c r="CP43"/>
      <c r="CQ43"/>
      <c r="CR43"/>
      <c r="CS43"/>
      <c r="CT43"/>
      <c r="CU43"/>
      <c r="CV43"/>
      <c r="CW43"/>
      <c r="CX43"/>
      <c r="CY43"/>
      <c r="CZ43"/>
      <c r="DA43"/>
      <c r="DB43"/>
      <c r="DC43" t="s">
        <v>8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s="6" customFormat="1">
      <c r="A44" t="str">
        <f>HYPERLINK(".\links\pep\TI-76-pep.txt","TI-76")</f>
        <v>TI-76</v>
      </c>
      <c r="B44">
        <v>76</v>
      </c>
      <c r="C44" t="s">
        <v>22</v>
      </c>
      <c r="D44">
        <v>198</v>
      </c>
      <c r="E44">
        <v>0</v>
      </c>
      <c r="F44" t="str">
        <f>HYPERLINK(".\links\cds\TI-76-cds.txt","TI-76")</f>
        <v>TI-76</v>
      </c>
      <c r="G44">
        <v>595</v>
      </c>
      <c r="H44"/>
      <c r="I44" t="s">
        <v>8</v>
      </c>
      <c r="J44" t="s">
        <v>6</v>
      </c>
      <c r="K44">
        <v>1</v>
      </c>
      <c r="L44">
        <v>0</v>
      </c>
      <c r="M44">
        <f t="shared" si="2"/>
        <v>1</v>
      </c>
      <c r="N44">
        <f t="shared" si="3"/>
        <v>1</v>
      </c>
      <c r="O44" t="s">
        <v>1266</v>
      </c>
      <c r="P44" t="s">
        <v>1178</v>
      </c>
      <c r="Q44" t="str">
        <f>HYPERLINK(".\links\NR-LIGHT\TI-76-NR-LIGHT.txt","NR-LIGHT")</f>
        <v>NR-LIGHT</v>
      </c>
      <c r="R44" s="3">
        <v>1.0000000000000001E-86</v>
      </c>
      <c r="S44">
        <v>47.4</v>
      </c>
      <c r="T44" t="str">
        <f>HYPERLINK(".\links\NR-LIGHT\TI-76-NR-LIGHT.txt","inositol-trisphosphate 3-kinase A-like")</f>
        <v>inositol-trisphosphate 3-kinase A-like</v>
      </c>
      <c r="U44" t="str">
        <f>HYPERLINK("http://www.ncbi.nlm.nih.gov/sutils/blink.cgi?pid=328708818","1E-086")</f>
        <v>1E-086</v>
      </c>
      <c r="V44" t="str">
        <f>HYPERLINK("http://www.ncbi.nlm.nih.gov/protein/328708818","gi|328708818")</f>
        <v>gi|328708818</v>
      </c>
      <c r="W44">
        <v>320</v>
      </c>
      <c r="X44">
        <v>197</v>
      </c>
      <c r="Y44">
        <v>417</v>
      </c>
      <c r="Z44">
        <v>73</v>
      </c>
      <c r="AA44">
        <v>47</v>
      </c>
      <c r="AB44">
        <v>53</v>
      </c>
      <c r="AC44">
        <v>0</v>
      </c>
      <c r="AD44">
        <v>157</v>
      </c>
      <c r="AE44">
        <v>1</v>
      </c>
      <c r="AF44">
        <v>1</v>
      </c>
      <c r="AG44"/>
      <c r="AH44" t="s">
        <v>13</v>
      </c>
      <c r="AI44" t="s">
        <v>51</v>
      </c>
      <c r="AJ44" t="s">
        <v>264</v>
      </c>
      <c r="AK44" t="str">
        <f>HYPERLINK(".\links\SWISSP\TI-76-SWISSP.txt","Inositol-trisphosphate 3-kinase C OS=Mus musculus GN=Itpkc PE=2 SV=1")</f>
        <v>Inositol-trisphosphate 3-kinase C OS=Mus musculus GN=Itpkc PE=2 SV=1</v>
      </c>
      <c r="AL44" t="str">
        <f>HYPERLINK("http://www.uniprot.org/uniprot/Q7TS72","8E-038")</f>
        <v>8E-038</v>
      </c>
      <c r="AM44" t="s">
        <v>133</v>
      </c>
      <c r="AN44">
        <v>156</v>
      </c>
      <c r="AO44">
        <v>199</v>
      </c>
      <c r="AP44">
        <v>678</v>
      </c>
      <c r="AQ44">
        <v>42</v>
      </c>
      <c r="AR44">
        <v>29</v>
      </c>
      <c r="AS44">
        <v>116</v>
      </c>
      <c r="AT44">
        <v>6</v>
      </c>
      <c r="AU44">
        <v>432</v>
      </c>
      <c r="AV44">
        <v>3</v>
      </c>
      <c r="AW44">
        <v>1</v>
      </c>
      <c r="AX44" t="s">
        <v>87</v>
      </c>
      <c r="AY44" t="str">
        <f>HYPERLINK(".\links\PREV-RHOD-PEP\TI-76-PREV-RHOD-PEP.txt","Contig15999_2")</f>
        <v>Contig15999_2</v>
      </c>
      <c r="AZ44" s="3">
        <v>1E-108</v>
      </c>
      <c r="BA44" t="s">
        <v>1047</v>
      </c>
      <c r="BB44">
        <v>386</v>
      </c>
      <c r="BC44">
        <v>197</v>
      </c>
      <c r="BD44">
        <v>393</v>
      </c>
      <c r="BE44">
        <v>93</v>
      </c>
      <c r="BF44">
        <v>50</v>
      </c>
      <c r="BG44">
        <v>13</v>
      </c>
      <c r="BH44">
        <v>0</v>
      </c>
      <c r="BI44">
        <v>133</v>
      </c>
      <c r="BJ44">
        <v>1</v>
      </c>
      <c r="BK44">
        <v>1</v>
      </c>
      <c r="BL44" t="s">
        <v>594</v>
      </c>
      <c r="BM44">
        <f>HYPERLINK(".\links\GO\TI-76-GO.txt",2E-57)</f>
        <v>1.9999999999999999E-57</v>
      </c>
      <c r="BN44" t="s">
        <v>595</v>
      </c>
      <c r="BO44" t="s">
        <v>345</v>
      </c>
      <c r="BP44" t="s">
        <v>346</v>
      </c>
      <c r="BQ44" t="s">
        <v>596</v>
      </c>
      <c r="BR44" s="3">
        <v>8.0000000000000005E-37</v>
      </c>
      <c r="BS44" t="s">
        <v>375</v>
      </c>
      <c r="BT44" t="s">
        <v>375</v>
      </c>
      <c r="BU44"/>
      <c r="BV44" t="s">
        <v>376</v>
      </c>
      <c r="BW44" s="3">
        <v>8.0000000000000005E-37</v>
      </c>
      <c r="BX44" t="s">
        <v>597</v>
      </c>
      <c r="BY44" t="s">
        <v>345</v>
      </c>
      <c r="BZ44" t="s">
        <v>346</v>
      </c>
      <c r="CA44" t="s">
        <v>598</v>
      </c>
      <c r="CB44" s="3">
        <v>8.0000000000000005E-37</v>
      </c>
      <c r="CC44" t="s">
        <v>8</v>
      </c>
      <c r="CD44"/>
      <c r="CE44"/>
      <c r="CF44" t="s">
        <v>8</v>
      </c>
      <c r="CG44"/>
      <c r="CH44"/>
      <c r="CI44" t="s">
        <v>8</v>
      </c>
      <c r="CJ44"/>
      <c r="CK44" t="s">
        <v>8</v>
      </c>
      <c r="CL44"/>
      <c r="CM44" t="s">
        <v>8</v>
      </c>
      <c r="CN44"/>
      <c r="CO44" t="s">
        <v>8</v>
      </c>
      <c r="CP44"/>
      <c r="CQ44"/>
      <c r="CR44"/>
      <c r="CS44"/>
      <c r="CT44"/>
      <c r="CU44"/>
      <c r="CV44"/>
      <c r="CW44"/>
      <c r="CX44"/>
      <c r="CY44"/>
      <c r="CZ44"/>
      <c r="DA44"/>
      <c r="DB44"/>
      <c r="DC44" t="s">
        <v>8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s="6" customFormat="1">
      <c r="A45" t="str">
        <f>HYPERLINK(".\links\pep\TI-77-pep.txt","TI-77")</f>
        <v>TI-77</v>
      </c>
      <c r="B45">
        <v>77</v>
      </c>
      <c r="C45" t="s">
        <v>19</v>
      </c>
      <c r="D45">
        <v>163</v>
      </c>
      <c r="E45" s="2">
        <v>24.53988</v>
      </c>
      <c r="F45" t="str">
        <f>HYPERLINK(".\links\cds\TI-77-cds.txt","TI-77")</f>
        <v>TI-77</v>
      </c>
      <c r="G45">
        <v>492</v>
      </c>
      <c r="H45" t="s">
        <v>24</v>
      </c>
      <c r="I45" t="s">
        <v>8</v>
      </c>
      <c r="J45" t="s">
        <v>6</v>
      </c>
      <c r="K45">
        <v>1</v>
      </c>
      <c r="L45">
        <v>0</v>
      </c>
      <c r="M45">
        <f t="shared" si="2"/>
        <v>1</v>
      </c>
      <c r="N45">
        <f t="shared" si="3"/>
        <v>1</v>
      </c>
      <c r="O45" t="s">
        <v>1267</v>
      </c>
      <c r="P45" t="s">
        <v>1178</v>
      </c>
      <c r="Q45" t="str">
        <f>HYPERLINK(".\links\SWISSP\TI-77-SWISSP.txt","SWISSP")</f>
        <v>SWISSP</v>
      </c>
      <c r="R45" s="3">
        <v>2.0000000000000001E-56</v>
      </c>
      <c r="S45">
        <v>28</v>
      </c>
      <c r="T45" t="str">
        <f>HYPERLINK(".\links\NR-LIGHT\TI-77-NR-LIGHT.txt","trehalase")</f>
        <v>trehalase</v>
      </c>
      <c r="U45" t="str">
        <f>HYPERLINK("http://www.ncbi.nlm.nih.gov/sutils/blink.cgi?pid=297520991","6E-056")</f>
        <v>6E-056</v>
      </c>
      <c r="V45" t="str">
        <f>HYPERLINK("http://www.ncbi.nlm.nih.gov/protein/297520991","gi|297520991")</f>
        <v>gi|297520991</v>
      </c>
      <c r="W45">
        <v>218</v>
      </c>
      <c r="X45">
        <v>160</v>
      </c>
      <c r="Y45">
        <v>497</v>
      </c>
      <c r="Z45">
        <v>69</v>
      </c>
      <c r="AA45">
        <v>32</v>
      </c>
      <c r="AB45">
        <v>49</v>
      </c>
      <c r="AC45">
        <v>0</v>
      </c>
      <c r="AD45">
        <v>337</v>
      </c>
      <c r="AE45">
        <v>3</v>
      </c>
      <c r="AF45">
        <v>1</v>
      </c>
      <c r="AG45"/>
      <c r="AH45" t="s">
        <v>13</v>
      </c>
      <c r="AI45" t="s">
        <v>51</v>
      </c>
      <c r="AJ45" t="s">
        <v>267</v>
      </c>
      <c r="AK45" t="str">
        <f>HYPERLINK(".\links\SWISSP\TI-77-SWISSP.txt","Periplasmic trehalase OS=Escherichia coli (strain SE11) GN=treA PE=3 SV=1")</f>
        <v>Periplasmic trehalase OS=Escherichia coli (strain SE11) GN=treA PE=3 SV=1</v>
      </c>
      <c r="AL45" t="str">
        <f>HYPERLINK("http://www.uniprot.org/uniprot/B6I9Q8","2E-056")</f>
        <v>2E-056</v>
      </c>
      <c r="AM45" t="s">
        <v>55</v>
      </c>
      <c r="AN45">
        <v>218</v>
      </c>
      <c r="AO45">
        <v>160</v>
      </c>
      <c r="AP45">
        <v>565</v>
      </c>
      <c r="AQ45">
        <v>69</v>
      </c>
      <c r="AR45">
        <v>28</v>
      </c>
      <c r="AS45">
        <v>49</v>
      </c>
      <c r="AT45">
        <v>0</v>
      </c>
      <c r="AU45">
        <v>405</v>
      </c>
      <c r="AV45">
        <v>3</v>
      </c>
      <c r="AW45">
        <v>1</v>
      </c>
      <c r="AX45" t="s">
        <v>56</v>
      </c>
      <c r="AY45" t="str">
        <f>HYPERLINK(".\links\PREV-RHOD-PEP\TI-77-PREV-RHOD-PEP.txt","Contig17464_16")</f>
        <v>Contig17464_16</v>
      </c>
      <c r="AZ45" s="3">
        <v>1.9999999999999999E-6</v>
      </c>
      <c r="BA45" t="s">
        <v>987</v>
      </c>
      <c r="BB45">
        <v>47.8</v>
      </c>
      <c r="BC45">
        <v>75</v>
      </c>
      <c r="BD45">
        <v>630</v>
      </c>
      <c r="BE45">
        <v>31</v>
      </c>
      <c r="BF45">
        <v>12</v>
      </c>
      <c r="BG45">
        <v>52</v>
      </c>
      <c r="BH45">
        <v>3</v>
      </c>
      <c r="BI45">
        <v>478</v>
      </c>
      <c r="BJ45">
        <v>55</v>
      </c>
      <c r="BK45">
        <v>1</v>
      </c>
      <c r="BL45" t="s">
        <v>347</v>
      </c>
      <c r="BM45">
        <f>HYPERLINK(".\links\GO\TI-77-GO.txt",0.00000000005)</f>
        <v>5.0000000000000002E-11</v>
      </c>
      <c r="BN45" t="s">
        <v>348</v>
      </c>
      <c r="BO45" t="s">
        <v>345</v>
      </c>
      <c r="BP45" t="s">
        <v>349</v>
      </c>
      <c r="BQ45" t="s">
        <v>350</v>
      </c>
      <c r="BR45">
        <v>1E-4</v>
      </c>
      <c r="BS45" t="s">
        <v>351</v>
      </c>
      <c r="BT45" t="s">
        <v>323</v>
      </c>
      <c r="BU45" t="s">
        <v>324</v>
      </c>
      <c r="BV45" t="s">
        <v>352</v>
      </c>
      <c r="BW45">
        <v>1E-4</v>
      </c>
      <c r="BX45" t="s">
        <v>353</v>
      </c>
      <c r="BY45" t="s">
        <v>345</v>
      </c>
      <c r="BZ45" t="s">
        <v>349</v>
      </c>
      <c r="CA45" t="s">
        <v>354</v>
      </c>
      <c r="CB45">
        <v>1E-4</v>
      </c>
      <c r="CC45" t="s">
        <v>8</v>
      </c>
      <c r="CD45"/>
      <c r="CE45"/>
      <c r="CF45" t="s">
        <v>8</v>
      </c>
      <c r="CG45"/>
      <c r="CH45"/>
      <c r="CI45" t="s">
        <v>8</v>
      </c>
      <c r="CJ45"/>
      <c r="CK45" t="s">
        <v>8</v>
      </c>
      <c r="CL45"/>
      <c r="CM45" t="s">
        <v>8</v>
      </c>
      <c r="CN45"/>
      <c r="CO45" t="s">
        <v>8</v>
      </c>
      <c r="CP45"/>
      <c r="CQ45"/>
      <c r="CR45"/>
      <c r="CS45"/>
      <c r="CT45"/>
      <c r="CU45"/>
      <c r="CV45"/>
      <c r="CW45"/>
      <c r="CX45"/>
      <c r="CY45"/>
      <c r="CZ45"/>
      <c r="DA45"/>
      <c r="DB45"/>
      <c r="DC45" t="s">
        <v>8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s="6" customFormat="1">
      <c r="A46" t="str">
        <f>HYPERLINK(".\links\pep\TI-78-pep.txt","TI-78")</f>
        <v>TI-78</v>
      </c>
      <c r="B46">
        <v>78</v>
      </c>
      <c r="C46" t="s">
        <v>7</v>
      </c>
      <c r="D46">
        <v>233</v>
      </c>
      <c r="E46">
        <v>0</v>
      </c>
      <c r="F46" t="str">
        <f>HYPERLINK(".\links\cds\TI-78-cds.txt","TI-78")</f>
        <v>TI-78</v>
      </c>
      <c r="G46">
        <v>702</v>
      </c>
      <c r="H46"/>
      <c r="I46" t="s">
        <v>29</v>
      </c>
      <c r="J46" t="s">
        <v>6</v>
      </c>
      <c r="K46">
        <v>0</v>
      </c>
      <c r="L46">
        <v>1</v>
      </c>
      <c r="M46">
        <f t="shared" si="2"/>
        <v>-1</v>
      </c>
      <c r="N46">
        <f t="shared" si="3"/>
        <v>1</v>
      </c>
      <c r="O46" t="s">
        <v>1268</v>
      </c>
      <c r="P46" t="s">
        <v>1190</v>
      </c>
      <c r="Q46" t="str">
        <f>HYPERLINK(".\links\NR-LIGHT\TI-78-NR-LIGHT.txt","NR-LIGHT")</f>
        <v>NR-LIGHT</v>
      </c>
      <c r="R46" s="3">
        <v>9.9999999999999995E-58</v>
      </c>
      <c r="S46">
        <v>71</v>
      </c>
      <c r="T46" t="str">
        <f>HYPERLINK(".\links\NR-LIGHT\TI-78-NR-LIGHT.txt","similar to translocon-associated protein subunit alpha")</f>
        <v>similar to translocon-associated protein subunit alpha</v>
      </c>
      <c r="U46" t="str">
        <f>HYPERLINK("http://www.ncbi.nlm.nih.gov/sutils/blink.cgi?pid=91079082","1E-057")</f>
        <v>1E-057</v>
      </c>
      <c r="V46" t="str">
        <f>HYPERLINK("http://www.ncbi.nlm.nih.gov/protein/91079082","gi|91079082")</f>
        <v>gi|91079082</v>
      </c>
      <c r="W46">
        <v>225</v>
      </c>
      <c r="X46">
        <v>202</v>
      </c>
      <c r="Y46">
        <v>287</v>
      </c>
      <c r="Z46">
        <v>57</v>
      </c>
      <c r="AA46">
        <v>71</v>
      </c>
      <c r="AB46">
        <v>86</v>
      </c>
      <c r="AC46">
        <v>3</v>
      </c>
      <c r="AD46">
        <v>1</v>
      </c>
      <c r="AE46">
        <v>1</v>
      </c>
      <c r="AF46">
        <v>1</v>
      </c>
      <c r="AG46"/>
      <c r="AH46" t="s">
        <v>13</v>
      </c>
      <c r="AI46" t="s">
        <v>51</v>
      </c>
      <c r="AJ46" t="s">
        <v>266</v>
      </c>
      <c r="AK46" t="str">
        <f>HYPERLINK(".\links\SWISSP\TI-78-SWISSP.txt","Translocon-associated protein subunit alpha OS=Pongo abelii GN=SSR1 PE=2 SV=1")</f>
        <v>Translocon-associated protein subunit alpha OS=Pongo abelii GN=SSR1 PE=2 SV=1</v>
      </c>
      <c r="AL46" t="str">
        <f>HYPERLINK("http://www.uniprot.org/uniprot/Q5R4X4","1E-044")</f>
        <v>1E-044</v>
      </c>
      <c r="AM46" t="s">
        <v>134</v>
      </c>
      <c r="AN46">
        <v>179</v>
      </c>
      <c r="AO46">
        <v>165</v>
      </c>
      <c r="AP46">
        <v>291</v>
      </c>
      <c r="AQ46">
        <v>50</v>
      </c>
      <c r="AR46">
        <v>57</v>
      </c>
      <c r="AS46">
        <v>88</v>
      </c>
      <c r="AT46">
        <v>12</v>
      </c>
      <c r="AU46">
        <v>69</v>
      </c>
      <c r="AV46">
        <v>53</v>
      </c>
      <c r="AW46">
        <v>1</v>
      </c>
      <c r="AX46" t="s">
        <v>121</v>
      </c>
      <c r="AY46" t="str">
        <f>HYPERLINK(".\links\PREV-RHOD-PEP\TI-78-PREV-RHOD-PEP.txt","Contig17383_8")</f>
        <v>Contig17383_8</v>
      </c>
      <c r="AZ46" s="3">
        <v>1.0000000000000001E-86</v>
      </c>
      <c r="BA46" t="s">
        <v>1048</v>
      </c>
      <c r="BB46">
        <v>315</v>
      </c>
      <c r="BC46">
        <v>184</v>
      </c>
      <c r="BD46">
        <v>271</v>
      </c>
      <c r="BE46">
        <v>85</v>
      </c>
      <c r="BF46">
        <v>68</v>
      </c>
      <c r="BG46">
        <v>27</v>
      </c>
      <c r="BH46">
        <v>0</v>
      </c>
      <c r="BI46">
        <v>1</v>
      </c>
      <c r="BJ46">
        <v>23</v>
      </c>
      <c r="BK46">
        <v>1</v>
      </c>
      <c r="BL46" t="s">
        <v>599</v>
      </c>
      <c r="BM46">
        <f>HYPERLINK(".\links\GO\TI-78-GO.txt",9E-53)</f>
        <v>8.9999999999999997E-53</v>
      </c>
      <c r="BN46" t="s">
        <v>8</v>
      </c>
      <c r="BO46" t="s">
        <v>8</v>
      </c>
      <c r="BP46" t="s">
        <v>8</v>
      </c>
      <c r="BQ46" t="s">
        <v>8</v>
      </c>
      <c r="BR46" t="s">
        <v>8</v>
      </c>
      <c r="BS46" t="s">
        <v>8</v>
      </c>
      <c r="BT46" t="s">
        <v>8</v>
      </c>
      <c r="BU46" t="s">
        <v>8</v>
      </c>
      <c r="BV46" t="s">
        <v>8</v>
      </c>
      <c r="BW46" t="s">
        <v>8</v>
      </c>
      <c r="BX46" t="s">
        <v>361</v>
      </c>
      <c r="BY46" t="s">
        <v>340</v>
      </c>
      <c r="BZ46" t="s">
        <v>600</v>
      </c>
      <c r="CA46" t="s">
        <v>362</v>
      </c>
      <c r="CB46" s="3">
        <v>6.9999999999999997E-32</v>
      </c>
      <c r="CC46" t="s">
        <v>8</v>
      </c>
      <c r="CD46"/>
      <c r="CE46"/>
      <c r="CF46" t="s">
        <v>8</v>
      </c>
      <c r="CG46"/>
      <c r="CH46"/>
      <c r="CI46" t="s">
        <v>8</v>
      </c>
      <c r="CJ46"/>
      <c r="CK46" t="s">
        <v>8</v>
      </c>
      <c r="CL46"/>
      <c r="CM46" t="s">
        <v>8</v>
      </c>
      <c r="CN46"/>
      <c r="CO46" t="s">
        <v>8</v>
      </c>
      <c r="CP46"/>
      <c r="CQ46"/>
      <c r="CR46"/>
      <c r="CS46"/>
      <c r="CT46"/>
      <c r="CU46"/>
      <c r="CV46"/>
      <c r="CW46"/>
      <c r="CX46"/>
      <c r="CY46"/>
      <c r="CZ46"/>
      <c r="DA46"/>
      <c r="DB46"/>
      <c r="DC46" t="s">
        <v>8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s="6" customFormat="1">
      <c r="A47" s="6" t="str">
        <f>HYPERLINK(".\links\pep\TI-80-pep.txt","TI-80")</f>
        <v>TI-80</v>
      </c>
      <c r="B47" s="6">
        <v>80</v>
      </c>
      <c r="C47" s="6" t="s">
        <v>16</v>
      </c>
      <c r="D47" s="6">
        <v>92</v>
      </c>
      <c r="E47" s="6">
        <v>0</v>
      </c>
      <c r="F47" s="6" t="str">
        <f>HYPERLINK(".\links\cds\TI-80-cds.txt","TI-80")</f>
        <v>TI-80</v>
      </c>
      <c r="G47" s="6">
        <v>278</v>
      </c>
      <c r="I47" s="6" t="s">
        <v>8</v>
      </c>
      <c r="J47" s="6" t="s">
        <v>6</v>
      </c>
      <c r="K47" s="6">
        <v>1</v>
      </c>
      <c r="L47" s="6">
        <v>0</v>
      </c>
      <c r="M47" s="6">
        <f t="shared" si="2"/>
        <v>1</v>
      </c>
      <c r="N47" s="6">
        <f t="shared" si="3"/>
        <v>1</v>
      </c>
      <c r="O47" s="6" t="s">
        <v>1170</v>
      </c>
      <c r="P47" s="6" t="s">
        <v>1171</v>
      </c>
      <c r="T47" s="6" t="str">
        <f>HYPERLINK(".\links\NR-LIGHT\TI-80-NR-LIGHT.txt","hypothetical protein")</f>
        <v>hypothetical protein</v>
      </c>
      <c r="U47" s="6" t="str">
        <f>HYPERLINK("http://www.ncbi.nlm.nih.gov/sutils/blink.cgi?pid=256079598","5.2")</f>
        <v>5.2</v>
      </c>
      <c r="V47" s="6" t="str">
        <f>HYPERLINK("http://www.ncbi.nlm.nih.gov/protein/256079598","gi|256079598")</f>
        <v>gi|256079598</v>
      </c>
      <c r="W47" s="6">
        <v>32</v>
      </c>
      <c r="X47" s="6">
        <v>34</v>
      </c>
      <c r="Y47" s="6">
        <v>741</v>
      </c>
      <c r="Z47" s="6">
        <v>45</v>
      </c>
      <c r="AA47" s="6">
        <v>5</v>
      </c>
      <c r="AB47" s="6">
        <v>19</v>
      </c>
      <c r="AC47" s="6">
        <v>0</v>
      </c>
      <c r="AD47" s="6">
        <v>489</v>
      </c>
      <c r="AE47" s="6">
        <v>54</v>
      </c>
      <c r="AF47" s="6">
        <v>1</v>
      </c>
      <c r="AH47" s="6" t="s">
        <v>13</v>
      </c>
      <c r="AI47" s="6" t="s">
        <v>51</v>
      </c>
      <c r="AJ47" s="6" t="s">
        <v>265</v>
      </c>
      <c r="AK47" s="6" t="s">
        <v>8</v>
      </c>
      <c r="AY47" s="6" t="s">
        <v>8</v>
      </c>
      <c r="BL47" s="6" t="s">
        <v>8</v>
      </c>
      <c r="CC47" s="6" t="s">
        <v>8</v>
      </c>
      <c r="CF47" s="6" t="s">
        <v>8</v>
      </c>
      <c r="CI47" s="6" t="s">
        <v>8</v>
      </c>
      <c r="CK47" s="6" t="s">
        <v>8</v>
      </c>
      <c r="CM47" s="6" t="s">
        <v>8</v>
      </c>
      <c r="CO47" s="6" t="s">
        <v>8</v>
      </c>
      <c r="DC47" s="6" t="s">
        <v>8</v>
      </c>
    </row>
    <row r="48" spans="1:120" s="6" customFormat="1">
      <c r="A48" s="6" t="str">
        <f>HYPERLINK(".\links\pep\TI-83-pep.txt","TI-83")</f>
        <v>TI-83</v>
      </c>
      <c r="B48" s="6">
        <v>83</v>
      </c>
      <c r="C48" s="6" t="s">
        <v>10</v>
      </c>
      <c r="D48" s="6">
        <v>31</v>
      </c>
      <c r="E48" s="6">
        <v>0</v>
      </c>
      <c r="F48" s="6" t="str">
        <f>HYPERLINK(".\links\cds\TI-83-cds.txt","TI-83")</f>
        <v>TI-83</v>
      </c>
      <c r="G48" s="6">
        <v>96</v>
      </c>
      <c r="I48" s="6" t="s">
        <v>8</v>
      </c>
      <c r="J48" s="6" t="s">
        <v>6</v>
      </c>
      <c r="K48" s="6">
        <v>1</v>
      </c>
      <c r="L48" s="6">
        <v>0</v>
      </c>
      <c r="M48" s="6">
        <f t="shared" si="2"/>
        <v>1</v>
      </c>
      <c r="N48" s="6">
        <f t="shared" si="3"/>
        <v>1</v>
      </c>
      <c r="O48" s="6" t="s">
        <v>1170</v>
      </c>
      <c r="P48" s="6" t="s">
        <v>1171</v>
      </c>
      <c r="T48" s="6" t="s">
        <v>8</v>
      </c>
      <c r="AK48" s="6" t="s">
        <v>8</v>
      </c>
      <c r="AY48" s="6" t="s">
        <v>8</v>
      </c>
      <c r="BL48" s="6" t="s">
        <v>8</v>
      </c>
      <c r="CC48" s="6" t="s">
        <v>8</v>
      </c>
      <c r="CF48" s="6" t="s">
        <v>8</v>
      </c>
      <c r="CI48" s="6" t="s">
        <v>8</v>
      </c>
      <c r="CK48" s="6" t="s">
        <v>8</v>
      </c>
      <c r="CM48" s="6" t="s">
        <v>8</v>
      </c>
      <c r="CO48" s="6" t="s">
        <v>8</v>
      </c>
      <c r="DC48" s="6" t="s">
        <v>8</v>
      </c>
    </row>
    <row r="49" spans="1:120" s="6" customFormat="1">
      <c r="A49" s="6" t="str">
        <f>HYPERLINK(".\links\pep\TI-84-pep.txt","TI-84")</f>
        <v>TI-84</v>
      </c>
      <c r="B49" s="6">
        <v>84</v>
      </c>
      <c r="C49" s="6" t="s">
        <v>23</v>
      </c>
      <c r="D49" s="6">
        <v>186</v>
      </c>
      <c r="E49" s="6">
        <v>0</v>
      </c>
      <c r="F49" s="6" t="str">
        <f>HYPERLINK(".\links\cds\TI-84-cds.txt","TI-84")</f>
        <v>TI-84</v>
      </c>
      <c r="G49" s="6">
        <v>557</v>
      </c>
      <c r="I49" s="6" t="s">
        <v>8</v>
      </c>
      <c r="J49" s="6" t="s">
        <v>8</v>
      </c>
      <c r="K49" s="6">
        <v>0</v>
      </c>
      <c r="L49" s="6">
        <v>4</v>
      </c>
      <c r="M49" s="6">
        <f t="shared" si="2"/>
        <v>-4</v>
      </c>
      <c r="N49" s="6">
        <f t="shared" si="3"/>
        <v>4</v>
      </c>
      <c r="O49" s="6" t="s">
        <v>1170</v>
      </c>
      <c r="P49" s="6" t="s">
        <v>1171</v>
      </c>
      <c r="T49" s="6" t="str">
        <f>HYPERLINK(".\links\NR-LIGHT\TI-84-NR-LIGHT.txt","conserved Plasmodium protein, unknown function")</f>
        <v>conserved Plasmodium protein, unknown function</v>
      </c>
      <c r="U49" s="6" t="str">
        <f>HYPERLINK("http://www.ncbi.nlm.nih.gov/sutils/blink.cgi?pid=124511844","3.4")</f>
        <v>3.4</v>
      </c>
      <c r="V49" s="6" t="str">
        <f>HYPERLINK("http://www.ncbi.nlm.nih.gov/protein/124511844","gi|124511844")</f>
        <v>gi|124511844</v>
      </c>
      <c r="W49" s="6">
        <v>33.5</v>
      </c>
      <c r="X49" s="6">
        <v>56</v>
      </c>
      <c r="Y49" s="6">
        <v>2206</v>
      </c>
      <c r="Z49" s="6">
        <v>33</v>
      </c>
      <c r="AA49" s="6">
        <v>3</v>
      </c>
      <c r="AB49" s="6">
        <v>41</v>
      </c>
      <c r="AC49" s="6">
        <v>5</v>
      </c>
      <c r="AD49" s="6">
        <v>649</v>
      </c>
      <c r="AE49" s="6">
        <v>29</v>
      </c>
      <c r="AF49" s="6">
        <v>1</v>
      </c>
      <c r="AH49" s="6" t="s">
        <v>13</v>
      </c>
      <c r="AI49" s="6" t="s">
        <v>51</v>
      </c>
      <c r="AJ49" s="6" t="s">
        <v>282</v>
      </c>
      <c r="AK49" s="6" t="s">
        <v>8</v>
      </c>
      <c r="AY49" s="6" t="str">
        <f>HYPERLINK(".\links\PREV-RHOD-PEP\TI-84-PREV-RHOD-PEP.txt","Contig17527_16")</f>
        <v>Contig17527_16</v>
      </c>
      <c r="AZ49" s="8">
        <v>4.0000000000000001E-53</v>
      </c>
      <c r="BA49" s="6" t="s">
        <v>1049</v>
      </c>
      <c r="BB49" s="6">
        <v>203</v>
      </c>
      <c r="BC49" s="6">
        <v>185</v>
      </c>
      <c r="BD49" s="6">
        <v>500</v>
      </c>
      <c r="BE49" s="6">
        <v>61</v>
      </c>
      <c r="BF49" s="6">
        <v>37</v>
      </c>
      <c r="BG49" s="6">
        <v>71</v>
      </c>
      <c r="BH49" s="6">
        <v>3</v>
      </c>
      <c r="BI49" s="6">
        <v>1</v>
      </c>
      <c r="BJ49" s="6">
        <v>4</v>
      </c>
      <c r="BK49" s="6">
        <v>1</v>
      </c>
      <c r="BL49" s="6" t="s">
        <v>8</v>
      </c>
      <c r="CC49" s="6" t="s">
        <v>8</v>
      </c>
      <c r="CF49" s="6" t="s">
        <v>8</v>
      </c>
      <c r="CI49" s="6" t="s">
        <v>8</v>
      </c>
      <c r="CK49" s="6" t="s">
        <v>8</v>
      </c>
      <c r="CM49" s="6" t="s">
        <v>8</v>
      </c>
      <c r="CO49" s="6" t="s">
        <v>8</v>
      </c>
      <c r="DC49" s="6" t="s">
        <v>8</v>
      </c>
    </row>
    <row r="50" spans="1:120" s="6" customFormat="1">
      <c r="A50" t="str">
        <f>HYPERLINK(".\links\pep\TI-85-pep.txt","TI-85")</f>
        <v>TI-85</v>
      </c>
      <c r="B50">
        <v>85</v>
      </c>
      <c r="C50" t="s">
        <v>11</v>
      </c>
      <c r="D50">
        <v>49</v>
      </c>
      <c r="E50">
        <v>0</v>
      </c>
      <c r="F50" t="str">
        <f>HYPERLINK(".\links\cds\TI-85-cds.txt","TI-85")</f>
        <v>TI-85</v>
      </c>
      <c r="G50">
        <v>150</v>
      </c>
      <c r="H50"/>
      <c r="I50" t="s">
        <v>8</v>
      </c>
      <c r="J50" t="s">
        <v>6</v>
      </c>
      <c r="K50">
        <v>1</v>
      </c>
      <c r="L50">
        <v>0</v>
      </c>
      <c r="M50">
        <f t="shared" si="2"/>
        <v>1</v>
      </c>
      <c r="N50">
        <f t="shared" si="3"/>
        <v>1</v>
      </c>
      <c r="O50" t="s">
        <v>1269</v>
      </c>
      <c r="P50" t="s">
        <v>1190</v>
      </c>
      <c r="Q50" t="str">
        <f>HYPERLINK(".\links\NR-LIGHT\TI-85-NR-LIGHT.txt","NR-LIGHT")</f>
        <v>NR-LIGHT</v>
      </c>
      <c r="R50">
        <v>2.9999999999999999E-7</v>
      </c>
      <c r="S50">
        <v>4.0999999999999996</v>
      </c>
      <c r="T50" t="str">
        <f>HYPERLINK(".\links\NR-LIGHT\TI-85-NR-LIGHT.txt","hypothetical protein TcasGA2_TC005990")</f>
        <v>hypothetical protein TcasGA2_TC005990</v>
      </c>
      <c r="U50" t="str">
        <f>HYPERLINK("http://www.ncbi.nlm.nih.gov/sutils/blink.cgi?pid=270011899","3E-007")</f>
        <v>3E-007</v>
      </c>
      <c r="V50" t="str">
        <f>HYPERLINK("http://www.ncbi.nlm.nih.gov/protein/270011899","gi|270011899")</f>
        <v>gi|270011899</v>
      </c>
      <c r="W50">
        <v>56.2</v>
      </c>
      <c r="X50">
        <v>47</v>
      </c>
      <c r="Y50">
        <v>230</v>
      </c>
      <c r="Z50">
        <v>56</v>
      </c>
      <c r="AA50">
        <v>21</v>
      </c>
      <c r="AB50">
        <v>21</v>
      </c>
      <c r="AC50">
        <v>0</v>
      </c>
      <c r="AD50">
        <v>180</v>
      </c>
      <c r="AE50">
        <v>1</v>
      </c>
      <c r="AF50">
        <v>1</v>
      </c>
      <c r="AG50"/>
      <c r="AH50" t="s">
        <v>13</v>
      </c>
      <c r="AI50" t="s">
        <v>51</v>
      </c>
      <c r="AJ50" t="s">
        <v>266</v>
      </c>
      <c r="AK50" t="s">
        <v>8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 t="str">
        <f>HYPERLINK(".\links\PREV-RHOD-PEP\TI-85-PREV-RHOD-PEP.txt","Contig17909_35")</f>
        <v>Contig17909_35</v>
      </c>
      <c r="AZ50" s="3">
        <v>1.9999999999999999E-11</v>
      </c>
      <c r="BA50" t="s">
        <v>1050</v>
      </c>
      <c r="BB50">
        <v>63.9</v>
      </c>
      <c r="BC50">
        <v>34</v>
      </c>
      <c r="BD50">
        <v>679</v>
      </c>
      <c r="BE50">
        <v>82</v>
      </c>
      <c r="BF50">
        <v>5</v>
      </c>
      <c r="BG50">
        <v>6</v>
      </c>
      <c r="BH50">
        <v>0</v>
      </c>
      <c r="BI50">
        <v>608</v>
      </c>
      <c r="BJ50">
        <v>1</v>
      </c>
      <c r="BK50">
        <v>1</v>
      </c>
      <c r="BL50" t="s">
        <v>601</v>
      </c>
      <c r="BM50">
        <f>HYPERLINK(".\links\GO\TI-85-GO.txt",0.000002)</f>
        <v>1.9999999999999999E-6</v>
      </c>
      <c r="BN50" t="s">
        <v>8</v>
      </c>
      <c r="BO50" t="s">
        <v>8</v>
      </c>
      <c r="BP50" t="s">
        <v>8</v>
      </c>
      <c r="BQ50" t="s">
        <v>8</v>
      </c>
      <c r="BR50" t="s">
        <v>8</v>
      </c>
      <c r="BS50" t="s">
        <v>602</v>
      </c>
      <c r="BT50" t="s">
        <v>323</v>
      </c>
      <c r="BU50" t="s">
        <v>334</v>
      </c>
      <c r="BV50" t="s">
        <v>603</v>
      </c>
      <c r="BW50">
        <v>1.9999999999999999E-6</v>
      </c>
      <c r="BX50" t="s">
        <v>8</v>
      </c>
      <c r="BY50" t="s">
        <v>8</v>
      </c>
      <c r="BZ50" t="s">
        <v>8</v>
      </c>
      <c r="CA50" t="s">
        <v>8</v>
      </c>
      <c r="CB50" t="s">
        <v>8</v>
      </c>
      <c r="CC50" t="s">
        <v>8</v>
      </c>
      <c r="CD50"/>
      <c r="CE50"/>
      <c r="CF50" t="s">
        <v>8</v>
      </c>
      <c r="CG50"/>
      <c r="CH50"/>
      <c r="CI50" t="s">
        <v>8</v>
      </c>
      <c r="CJ50"/>
      <c r="CK50" t="s">
        <v>8</v>
      </c>
      <c r="CL50"/>
      <c r="CM50" t="s">
        <v>8</v>
      </c>
      <c r="CN50"/>
      <c r="CO50" t="s">
        <v>8</v>
      </c>
      <c r="CP50"/>
      <c r="CQ50"/>
      <c r="CR50"/>
      <c r="CS50"/>
      <c r="CT50"/>
      <c r="CU50"/>
      <c r="CV50"/>
      <c r="CW50"/>
      <c r="CX50"/>
      <c r="CY50"/>
      <c r="CZ50"/>
      <c r="DA50"/>
      <c r="DB50"/>
      <c r="DC50" t="s">
        <v>8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s="6" customFormat="1">
      <c r="A51" s="6" t="str">
        <f>HYPERLINK(".\links\pep\TI-86-pep.txt","TI-86")</f>
        <v>TI-86</v>
      </c>
      <c r="B51" s="6">
        <v>86</v>
      </c>
      <c r="C51" s="6" t="s">
        <v>7</v>
      </c>
      <c r="D51" s="6">
        <v>163</v>
      </c>
      <c r="E51" s="7">
        <v>4.9079759999999997</v>
      </c>
      <c r="F51" s="6" t="str">
        <f>HYPERLINK(".\links\cds\TI-86-cds.txt","TI-86")</f>
        <v>TI-86</v>
      </c>
      <c r="G51" s="6">
        <v>492</v>
      </c>
      <c r="H51" s="6" t="s">
        <v>24</v>
      </c>
      <c r="I51" s="6" t="s">
        <v>29</v>
      </c>
      <c r="J51" s="6" t="s">
        <v>6</v>
      </c>
      <c r="K51" s="6">
        <v>1</v>
      </c>
      <c r="L51" s="6">
        <v>0</v>
      </c>
      <c r="M51" s="6">
        <f t="shared" si="2"/>
        <v>1</v>
      </c>
      <c r="N51" s="6">
        <f t="shared" si="3"/>
        <v>1</v>
      </c>
      <c r="O51" s="6" t="s">
        <v>1170</v>
      </c>
      <c r="P51" s="6" t="s">
        <v>1171</v>
      </c>
      <c r="T51" s="6" t="str">
        <f>HYPERLINK(".\links\NR-LIGHT\TI-86-NR-LIGHT.txt","jupiter, isoform C")</f>
        <v>jupiter, isoform C</v>
      </c>
      <c r="U51" s="6" t="str">
        <f>HYPERLINK("http://www.ncbi.nlm.nih.gov/sutils/blink.cgi?pid=24645999","3E-004")</f>
        <v>3E-004</v>
      </c>
      <c r="V51" s="6" t="str">
        <f>HYPERLINK("http://www.ncbi.nlm.nih.gov/protein/24645999","gi|24645999")</f>
        <v>gi|24645999</v>
      </c>
      <c r="W51" s="6">
        <v>46.6</v>
      </c>
      <c r="X51" s="6">
        <v>40</v>
      </c>
      <c r="Y51" s="6">
        <v>197</v>
      </c>
      <c r="Z51" s="6">
        <v>51</v>
      </c>
      <c r="AA51" s="6">
        <v>21</v>
      </c>
      <c r="AB51" s="6">
        <v>21</v>
      </c>
      <c r="AC51" s="6">
        <v>2</v>
      </c>
      <c r="AD51" s="6">
        <v>18</v>
      </c>
      <c r="AE51" s="6">
        <v>24</v>
      </c>
      <c r="AF51" s="6">
        <v>1</v>
      </c>
      <c r="AH51" s="6" t="s">
        <v>13</v>
      </c>
      <c r="AI51" s="6" t="s">
        <v>51</v>
      </c>
      <c r="AJ51" s="6" t="s">
        <v>277</v>
      </c>
      <c r="AK51" s="6" t="str">
        <f>HYPERLINK(".\links\SWISSP\TI-86-SWISSP.txt","Microtubule-associated protein Jupiter OS=Drosophila melanogaster GN=Jupiter")</f>
        <v>Microtubule-associated protein Jupiter OS=Drosophila melanogaster GN=Jupiter</v>
      </c>
      <c r="AL51" s="6" t="str">
        <f>HYPERLINK("http://www.uniprot.org/uniprot/Q9I7K0","8E-005")</f>
        <v>8E-005</v>
      </c>
      <c r="AM51" s="6" t="s">
        <v>77</v>
      </c>
      <c r="AN51" s="6">
        <v>46.2</v>
      </c>
      <c r="AO51" s="6">
        <v>37</v>
      </c>
      <c r="AP51" s="6">
        <v>208</v>
      </c>
      <c r="AQ51" s="6">
        <v>55</v>
      </c>
      <c r="AR51" s="6">
        <v>18</v>
      </c>
      <c r="AS51" s="6">
        <v>18</v>
      </c>
      <c r="AT51" s="6">
        <v>2</v>
      </c>
      <c r="AU51" s="6">
        <v>21</v>
      </c>
      <c r="AV51" s="6">
        <v>27</v>
      </c>
      <c r="AW51" s="6">
        <v>1</v>
      </c>
      <c r="AX51" s="6" t="s">
        <v>52</v>
      </c>
      <c r="AY51" s="6" t="str">
        <f>HYPERLINK(".\links\PREV-RHOD-PEP\TI-86-PREV-RHOD-PEP.txt","Contig17848_93")</f>
        <v>Contig17848_93</v>
      </c>
      <c r="AZ51" s="8">
        <v>5.0000000000000002E-14</v>
      </c>
      <c r="BA51" s="6" t="s">
        <v>1002</v>
      </c>
      <c r="BB51" s="6">
        <v>73.2</v>
      </c>
      <c r="BC51" s="6">
        <v>170</v>
      </c>
      <c r="BD51" s="6">
        <v>178</v>
      </c>
      <c r="BE51" s="6">
        <v>76</v>
      </c>
      <c r="BF51" s="6">
        <v>96</v>
      </c>
      <c r="BG51" s="6">
        <v>12</v>
      </c>
      <c r="BH51" s="6">
        <v>2</v>
      </c>
      <c r="BI51" s="6">
        <v>8</v>
      </c>
      <c r="BJ51" s="6">
        <v>28</v>
      </c>
      <c r="BK51" s="6">
        <v>2</v>
      </c>
      <c r="BL51" s="6" t="s">
        <v>411</v>
      </c>
      <c r="BM51" s="6">
        <f>HYPERLINK(".\links\GO\TI-86-GO.txt",0.002)</f>
        <v>2E-3</v>
      </c>
      <c r="BN51" s="6" t="s">
        <v>373</v>
      </c>
      <c r="BO51" s="6" t="s">
        <v>373</v>
      </c>
      <c r="BQ51" s="6" t="s">
        <v>374</v>
      </c>
      <c r="BR51" s="6">
        <v>2E-3</v>
      </c>
      <c r="BS51" s="6" t="s">
        <v>375</v>
      </c>
      <c r="BT51" s="6" t="s">
        <v>375</v>
      </c>
      <c r="BV51" s="6" t="s">
        <v>376</v>
      </c>
      <c r="BW51" s="6">
        <v>2E-3</v>
      </c>
      <c r="BX51" s="6" t="s">
        <v>380</v>
      </c>
      <c r="BY51" s="6" t="s">
        <v>373</v>
      </c>
      <c r="CA51" s="6" t="s">
        <v>381</v>
      </c>
      <c r="CB51" s="6">
        <v>2E-3</v>
      </c>
      <c r="CC51" s="6" t="s">
        <v>8</v>
      </c>
      <c r="CF51" s="6" t="s">
        <v>8</v>
      </c>
      <c r="CI51" s="6" t="s">
        <v>8</v>
      </c>
      <c r="CK51" s="6" t="s">
        <v>8</v>
      </c>
      <c r="CM51" s="6" t="s">
        <v>8</v>
      </c>
      <c r="CO51" s="6" t="s">
        <v>8</v>
      </c>
      <c r="DC51" s="6" t="s">
        <v>8</v>
      </c>
    </row>
    <row r="52" spans="1:120" s="6" customFormat="1">
      <c r="A52" s="6" t="str">
        <f>HYPERLINK(".\links\pep\TI-89-pep.txt","TI-89")</f>
        <v>TI-89</v>
      </c>
      <c r="B52" s="6">
        <v>89</v>
      </c>
      <c r="C52" s="6" t="s">
        <v>13</v>
      </c>
      <c r="D52" s="6">
        <v>11</v>
      </c>
      <c r="E52" s="6">
        <v>0</v>
      </c>
      <c r="F52" s="6" t="str">
        <f>HYPERLINK(".\links\cds\TI-89-cds.txt","TI-89")</f>
        <v>TI-89</v>
      </c>
      <c r="G52" s="6">
        <v>36</v>
      </c>
      <c r="I52" s="6" t="s">
        <v>8</v>
      </c>
      <c r="J52" s="6" t="s">
        <v>6</v>
      </c>
      <c r="K52" s="6">
        <v>1</v>
      </c>
      <c r="L52" s="6">
        <v>3</v>
      </c>
      <c r="M52" s="6">
        <f t="shared" si="2"/>
        <v>-2</v>
      </c>
      <c r="N52" s="6">
        <f t="shared" si="3"/>
        <v>2</v>
      </c>
      <c r="O52" s="6" t="s">
        <v>1170</v>
      </c>
      <c r="P52" s="6" t="s">
        <v>1171</v>
      </c>
      <c r="T52" s="6" t="s">
        <v>8</v>
      </c>
      <c r="AK52" s="6" t="s">
        <v>8</v>
      </c>
      <c r="AY52" s="6" t="s">
        <v>8</v>
      </c>
      <c r="BL52" s="6" t="s">
        <v>8</v>
      </c>
      <c r="CC52" s="6" t="s">
        <v>8</v>
      </c>
      <c r="CF52" s="6" t="s">
        <v>8</v>
      </c>
      <c r="CI52" s="6" t="s">
        <v>8</v>
      </c>
      <c r="CK52" s="6" t="s">
        <v>8</v>
      </c>
      <c r="CM52" s="6" t="s">
        <v>8</v>
      </c>
      <c r="CO52" s="6" t="s">
        <v>8</v>
      </c>
      <c r="DC52" s="6" t="s">
        <v>8</v>
      </c>
    </row>
    <row r="53" spans="1:120" s="6" customFormat="1">
      <c r="A53" t="str">
        <f>HYPERLINK(".\links\pep\TI-90-pep.txt","TI-90")</f>
        <v>TI-90</v>
      </c>
      <c r="B53">
        <v>90</v>
      </c>
      <c r="C53" t="s">
        <v>11</v>
      </c>
      <c r="D53">
        <v>226</v>
      </c>
      <c r="E53">
        <v>0</v>
      </c>
      <c r="F53" t="str">
        <f>HYPERLINK(".\links\cds\TI-90-cds.txt","TI-90")</f>
        <v>TI-90</v>
      </c>
      <c r="G53">
        <v>676</v>
      </c>
      <c r="H53"/>
      <c r="I53" t="s">
        <v>8</v>
      </c>
      <c r="J53" t="s">
        <v>8</v>
      </c>
      <c r="K53">
        <v>2</v>
      </c>
      <c r="L53">
        <v>0</v>
      </c>
      <c r="M53">
        <f t="shared" si="2"/>
        <v>2</v>
      </c>
      <c r="N53">
        <f t="shared" si="3"/>
        <v>2</v>
      </c>
      <c r="O53" t="s">
        <v>1191</v>
      </c>
      <c r="P53" t="s">
        <v>1187</v>
      </c>
      <c r="Q53" t="str">
        <f>HYPERLINK(".\links\SWISSP\TI-90-SWISSP.txt","SWISSP")</f>
        <v>SWISSP</v>
      </c>
      <c r="R53">
        <v>1.9999999999999999E-11</v>
      </c>
      <c r="S53">
        <v>13.1</v>
      </c>
      <c r="T53" t="str">
        <f>HYPERLINK(".\links\NR-LIGHT\TI-90-NR-LIGHT.txt","CG31195")</f>
        <v>CG31195</v>
      </c>
      <c r="U53" t="str">
        <f>HYPERLINK("http://www.ncbi.nlm.nih.gov/sutils/blink.cgi?pid=281362159","1E-098")</f>
        <v>1E-098</v>
      </c>
      <c r="V53" t="str">
        <f>HYPERLINK("http://www.ncbi.nlm.nih.gov/protein/281362159","gi|281362159")</f>
        <v>gi|281362159</v>
      </c>
      <c r="W53">
        <v>361</v>
      </c>
      <c r="X53">
        <v>526</v>
      </c>
      <c r="Y53">
        <v>807</v>
      </c>
      <c r="Z53">
        <v>74</v>
      </c>
      <c r="AA53">
        <v>65</v>
      </c>
      <c r="AB53">
        <v>59</v>
      </c>
      <c r="AC53">
        <v>1</v>
      </c>
      <c r="AD53">
        <v>267</v>
      </c>
      <c r="AE53">
        <v>1</v>
      </c>
      <c r="AF53">
        <v>2</v>
      </c>
      <c r="AG53"/>
      <c r="AH53" t="s">
        <v>13</v>
      </c>
      <c r="AI53" t="s">
        <v>51</v>
      </c>
      <c r="AJ53" t="s">
        <v>52</v>
      </c>
      <c r="AK53" t="str">
        <f>HYPERLINK(".\links\SWISSP\TI-90-SWISSP.txt","Probable G-protein coupled receptor 158 OS=Mus musculus GN=Gpr158 PE=1 SV=2")</f>
        <v>Probable G-protein coupled receptor 158 OS=Mus musculus GN=Gpr158 PE=1 SV=2</v>
      </c>
      <c r="AL53" t="str">
        <f>HYPERLINK("http://www.uniprot.org/uniprot/Q8C419","2E-011")</f>
        <v>2E-011</v>
      </c>
      <c r="AM53" t="s">
        <v>135</v>
      </c>
      <c r="AN53">
        <v>68.900000000000006</v>
      </c>
      <c r="AO53">
        <v>140</v>
      </c>
      <c r="AP53">
        <v>1200</v>
      </c>
      <c r="AQ53">
        <v>27</v>
      </c>
      <c r="AR53">
        <v>12</v>
      </c>
      <c r="AS53">
        <v>114</v>
      </c>
      <c r="AT53">
        <v>22</v>
      </c>
      <c r="AU53">
        <v>221</v>
      </c>
      <c r="AV53">
        <v>25</v>
      </c>
      <c r="AW53">
        <v>1</v>
      </c>
      <c r="AX53" t="s">
        <v>87</v>
      </c>
      <c r="AY53" t="str">
        <f>HYPERLINK(".\links\PREV-RHOD-PEP\TI-90-PREV-RHOD-PEP.txt","Contig17898_11")</f>
        <v>Contig17898_11</v>
      </c>
      <c r="AZ53" s="3">
        <v>9.9999999999999997E-61</v>
      </c>
      <c r="BA53" t="s">
        <v>1051</v>
      </c>
      <c r="BB53">
        <v>229</v>
      </c>
      <c r="BC53">
        <v>523</v>
      </c>
      <c r="BD53">
        <v>812</v>
      </c>
      <c r="BE53">
        <v>89</v>
      </c>
      <c r="BF53">
        <v>65</v>
      </c>
      <c r="BG53">
        <v>12</v>
      </c>
      <c r="BH53">
        <v>0</v>
      </c>
      <c r="BI53">
        <v>250</v>
      </c>
      <c r="BJ53">
        <v>1</v>
      </c>
      <c r="BK53">
        <v>2</v>
      </c>
      <c r="BL53" t="s">
        <v>604</v>
      </c>
      <c r="BM53">
        <f>HYPERLINK(".\links\GO\TI-90-GO.txt",0)</f>
        <v>0</v>
      </c>
      <c r="BN53" t="s">
        <v>373</v>
      </c>
      <c r="BO53" t="s">
        <v>373</v>
      </c>
      <c r="BP53"/>
      <c r="BQ53" t="s">
        <v>374</v>
      </c>
      <c r="BR53" s="3">
        <v>1E-100</v>
      </c>
      <c r="BS53" t="s">
        <v>375</v>
      </c>
      <c r="BT53" t="s">
        <v>375</v>
      </c>
      <c r="BU53"/>
      <c r="BV53" t="s">
        <v>376</v>
      </c>
      <c r="BW53" s="3">
        <v>1E-100</v>
      </c>
      <c r="BX53" t="s">
        <v>380</v>
      </c>
      <c r="BY53" t="s">
        <v>373</v>
      </c>
      <c r="BZ53"/>
      <c r="CA53" t="s">
        <v>381</v>
      </c>
      <c r="CB53" s="3">
        <v>1E-100</v>
      </c>
      <c r="CC53" t="s">
        <v>8</v>
      </c>
      <c r="CD53"/>
      <c r="CE53"/>
      <c r="CF53" t="s">
        <v>8</v>
      </c>
      <c r="CG53"/>
      <c r="CH53"/>
      <c r="CI53" t="s">
        <v>8</v>
      </c>
      <c r="CJ53"/>
      <c r="CK53" t="s">
        <v>8</v>
      </c>
      <c r="CL53"/>
      <c r="CM53" t="s">
        <v>8</v>
      </c>
      <c r="CN53"/>
      <c r="CO53" t="s">
        <v>8</v>
      </c>
      <c r="CP53"/>
      <c r="CQ53"/>
      <c r="CR53"/>
      <c r="CS53"/>
      <c r="CT53"/>
      <c r="CU53"/>
      <c r="CV53"/>
      <c r="CW53"/>
      <c r="CX53"/>
      <c r="CY53"/>
      <c r="CZ53"/>
      <c r="DA53"/>
      <c r="DB53"/>
      <c r="DC53" t="s">
        <v>8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s="6" customFormat="1">
      <c r="A54" t="str">
        <f>HYPERLINK(".\links\pep\TI-91-pep.txt","TI-91")</f>
        <v>TI-91</v>
      </c>
      <c r="B54">
        <v>91</v>
      </c>
      <c r="C54" t="s">
        <v>22</v>
      </c>
      <c r="D54">
        <v>133</v>
      </c>
      <c r="E54" s="2">
        <v>1.5037590000000001</v>
      </c>
      <c r="F54" t="str">
        <f>HYPERLINK(".\links\cds\TI-91-cds.txt","TI-91")</f>
        <v>TI-91</v>
      </c>
      <c r="G54">
        <v>396</v>
      </c>
      <c r="H54"/>
      <c r="I54" t="s">
        <v>8</v>
      </c>
      <c r="J54" t="s">
        <v>8</v>
      </c>
      <c r="K54">
        <v>1</v>
      </c>
      <c r="L54">
        <v>0</v>
      </c>
      <c r="M54">
        <f t="shared" si="2"/>
        <v>1</v>
      </c>
      <c r="N54">
        <f t="shared" si="3"/>
        <v>1</v>
      </c>
      <c r="O54" t="s">
        <v>1192</v>
      </c>
      <c r="P54" t="s">
        <v>1178</v>
      </c>
      <c r="Q54" t="str">
        <f>HYPERLINK(".\links\NR-LIGHT\TI-91-NR-LIGHT.txt","NR-LIGHT")</f>
        <v>NR-LIGHT</v>
      </c>
      <c r="R54" s="3">
        <v>6.9999999999999993E-24</v>
      </c>
      <c r="S54">
        <v>3</v>
      </c>
      <c r="T54" t="str">
        <f>HYPERLINK(".\links\NR-LIGHT\TI-91-NR-LIGHT.txt","hypothetical protein TcasGA2_TC012551")</f>
        <v>hypothetical protein TcasGA2_TC012551</v>
      </c>
      <c r="U54" t="str">
        <f>HYPERLINK("http://www.ncbi.nlm.nih.gov/sutils/blink.cgi?pid=270013885","7E-024")</f>
        <v>7E-024</v>
      </c>
      <c r="V54" t="str">
        <f>HYPERLINK("http://www.ncbi.nlm.nih.gov/protein/270013885","gi|270013885")</f>
        <v>gi|270013885</v>
      </c>
      <c r="W54">
        <v>111</v>
      </c>
      <c r="X54">
        <v>116</v>
      </c>
      <c r="Y54">
        <v>3944</v>
      </c>
      <c r="Z54">
        <v>48</v>
      </c>
      <c r="AA54">
        <v>3</v>
      </c>
      <c r="AB54">
        <v>61</v>
      </c>
      <c r="AC54">
        <v>2</v>
      </c>
      <c r="AD54">
        <v>3282</v>
      </c>
      <c r="AE54">
        <v>3</v>
      </c>
      <c r="AF54">
        <v>1</v>
      </c>
      <c r="AG54"/>
      <c r="AH54" t="s">
        <v>13</v>
      </c>
      <c r="AI54" t="s">
        <v>51</v>
      </c>
      <c r="AJ54" t="s">
        <v>266</v>
      </c>
      <c r="AK54" t="str">
        <f>HYPERLINK(".\links\SWISSP\TI-91-SWISSP.txt","Hemocytin OS=Bombyx mori PE=2 SV=1")</f>
        <v>Hemocytin OS=Bombyx mori PE=2 SV=1</v>
      </c>
      <c r="AL54" t="str">
        <f>HYPERLINK("http://www.uniprot.org/uniprot/P98092","1E-011")</f>
        <v>1E-011</v>
      </c>
      <c r="AM54" t="s">
        <v>104</v>
      </c>
      <c r="AN54">
        <v>68.599999999999994</v>
      </c>
      <c r="AO54">
        <v>113</v>
      </c>
      <c r="AP54">
        <v>3133</v>
      </c>
      <c r="AQ54">
        <v>36</v>
      </c>
      <c r="AR54">
        <v>4</v>
      </c>
      <c r="AS54">
        <v>74</v>
      </c>
      <c r="AT54">
        <v>4</v>
      </c>
      <c r="AU54">
        <v>2284</v>
      </c>
      <c r="AV54">
        <v>5</v>
      </c>
      <c r="AW54">
        <v>1</v>
      </c>
      <c r="AX54" t="s">
        <v>54</v>
      </c>
      <c r="AY54" t="str">
        <f>HYPERLINK(".\links\PREV-RHOD-PEP\TI-91-PREV-RHOD-PEP.txt","Contig17685_3")</f>
        <v>Contig17685_3</v>
      </c>
      <c r="AZ54" s="3">
        <v>2.0000000000000001E-33</v>
      </c>
      <c r="BA54" t="s">
        <v>1020</v>
      </c>
      <c r="BB54">
        <v>136</v>
      </c>
      <c r="BC54">
        <v>124</v>
      </c>
      <c r="BD54">
        <v>3236</v>
      </c>
      <c r="BE54">
        <v>62</v>
      </c>
      <c r="BF54">
        <v>4</v>
      </c>
      <c r="BG54">
        <v>48</v>
      </c>
      <c r="BH54">
        <v>9</v>
      </c>
      <c r="BI54">
        <v>2800</v>
      </c>
      <c r="BJ54">
        <v>3</v>
      </c>
      <c r="BK54">
        <v>1</v>
      </c>
      <c r="BL54" t="s">
        <v>497</v>
      </c>
      <c r="BM54">
        <f>HYPERLINK(".\links\GO\TI-91-GO.txt",0.0000000000007)</f>
        <v>7.0000000000000005E-13</v>
      </c>
      <c r="BN54" t="s">
        <v>498</v>
      </c>
      <c r="BO54" t="s">
        <v>340</v>
      </c>
      <c r="BP54" t="s">
        <v>499</v>
      </c>
      <c r="BQ54" t="s">
        <v>500</v>
      </c>
      <c r="BR54">
        <v>7.0000000000000005E-13</v>
      </c>
      <c r="BS54" t="s">
        <v>501</v>
      </c>
      <c r="BT54" t="s">
        <v>501</v>
      </c>
      <c r="BU54"/>
      <c r="BV54" t="s">
        <v>502</v>
      </c>
      <c r="BW54">
        <v>7.0000000000000005E-13</v>
      </c>
      <c r="BX54" t="s">
        <v>503</v>
      </c>
      <c r="BY54" t="s">
        <v>340</v>
      </c>
      <c r="BZ54" t="s">
        <v>499</v>
      </c>
      <c r="CA54" t="s">
        <v>504</v>
      </c>
      <c r="CB54">
        <v>7.0000000000000005E-13</v>
      </c>
      <c r="CC54" t="s">
        <v>8</v>
      </c>
      <c r="CD54"/>
      <c r="CE54"/>
      <c r="CF54" t="s">
        <v>8</v>
      </c>
      <c r="CG54"/>
      <c r="CH54"/>
      <c r="CI54" t="s">
        <v>8</v>
      </c>
      <c r="CJ54"/>
      <c r="CK54" t="s">
        <v>8</v>
      </c>
      <c r="CL54"/>
      <c r="CM54" t="s">
        <v>8</v>
      </c>
      <c r="CN54"/>
      <c r="CO54" t="s">
        <v>8</v>
      </c>
      <c r="CP54"/>
      <c r="CQ54"/>
      <c r="CR54"/>
      <c r="CS54"/>
      <c r="CT54"/>
      <c r="CU54"/>
      <c r="CV54"/>
      <c r="CW54"/>
      <c r="CX54"/>
      <c r="CY54"/>
      <c r="CZ54"/>
      <c r="DA54"/>
      <c r="DB54"/>
      <c r="DC54" t="s">
        <v>8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6" customFormat="1">
      <c r="A55" s="6" t="str">
        <f>HYPERLINK(".\links\pep\TI-95-pep.txt","TI-95")</f>
        <v>TI-95</v>
      </c>
      <c r="B55" s="6">
        <v>95</v>
      </c>
      <c r="C55" s="6" t="s">
        <v>23</v>
      </c>
      <c r="D55" s="6">
        <v>25</v>
      </c>
      <c r="E55" s="6">
        <v>0</v>
      </c>
      <c r="F55" s="6" t="str">
        <f>HYPERLINK(".\links\cds\TI-95-cds.txt","TI-95")</f>
        <v>TI-95</v>
      </c>
      <c r="G55" s="6">
        <v>78</v>
      </c>
      <c r="I55" s="6" t="s">
        <v>8</v>
      </c>
      <c r="J55" s="6" t="s">
        <v>6</v>
      </c>
      <c r="K55" s="6">
        <v>0</v>
      </c>
      <c r="L55" s="6">
        <v>1</v>
      </c>
      <c r="M55" s="6">
        <f t="shared" si="2"/>
        <v>-1</v>
      </c>
      <c r="N55" s="6">
        <f t="shared" si="3"/>
        <v>1</v>
      </c>
      <c r="O55" s="6" t="s">
        <v>1170</v>
      </c>
      <c r="P55" s="6" t="s">
        <v>1171</v>
      </c>
      <c r="T55" s="6" t="s">
        <v>8</v>
      </c>
      <c r="AK55" s="6" t="s">
        <v>8</v>
      </c>
      <c r="AY55" s="6" t="s">
        <v>8</v>
      </c>
      <c r="BL55" s="6" t="s">
        <v>8</v>
      </c>
      <c r="CC55" s="6" t="s">
        <v>8</v>
      </c>
      <c r="CF55" s="6" t="s">
        <v>8</v>
      </c>
      <c r="CI55" s="6" t="s">
        <v>8</v>
      </c>
      <c r="CK55" s="6" t="s">
        <v>8</v>
      </c>
      <c r="CM55" s="6" t="s">
        <v>8</v>
      </c>
      <c r="CO55" s="6" t="s">
        <v>8</v>
      </c>
      <c r="DC55" s="6" t="s">
        <v>8</v>
      </c>
    </row>
    <row r="56" spans="1:120" s="6" customFormat="1">
      <c r="A56" s="6" t="str">
        <f>HYPERLINK(".\links\pep\TI-100-pep.txt","TI-100")</f>
        <v>TI-100</v>
      </c>
      <c r="B56" s="6">
        <v>100</v>
      </c>
      <c r="C56" s="6" t="s">
        <v>7</v>
      </c>
      <c r="D56" s="6">
        <v>66</v>
      </c>
      <c r="E56" s="6">
        <v>0</v>
      </c>
      <c r="F56" s="6" t="str">
        <f>HYPERLINK(".\links\cds\TI-100-cds.txt","TI-100")</f>
        <v>TI-100</v>
      </c>
      <c r="G56" s="6">
        <v>201</v>
      </c>
      <c r="I56" s="6" t="s">
        <v>29</v>
      </c>
      <c r="J56" s="6" t="s">
        <v>6</v>
      </c>
      <c r="K56" s="6">
        <v>1</v>
      </c>
      <c r="L56" s="6">
        <v>1</v>
      </c>
      <c r="M56" s="6">
        <f t="shared" si="2"/>
        <v>0</v>
      </c>
      <c r="N56" s="6">
        <f t="shared" si="3"/>
        <v>0</v>
      </c>
      <c r="O56" s="6" t="s">
        <v>1170</v>
      </c>
      <c r="P56" s="6" t="s">
        <v>1171</v>
      </c>
      <c r="T56" s="6" t="str">
        <f>HYPERLINK(".\links\NR-LIGHT\TI-100-NR-LIGHT.txt","hypothetical protein TcasGA2_TC000791")</f>
        <v>hypothetical protein TcasGA2_TC000791</v>
      </c>
      <c r="U56" s="6" t="str">
        <f>HYPERLINK("http://www.ncbi.nlm.nih.gov/sutils/blink.cgi?pid=270001890","0.001")</f>
        <v>0.001</v>
      </c>
      <c r="V56" s="6" t="str">
        <f>HYPERLINK("http://www.ncbi.nlm.nih.gov/protein/270001890","gi|270001890")</f>
        <v>gi|270001890</v>
      </c>
      <c r="W56" s="6">
        <v>44.3</v>
      </c>
      <c r="X56" s="6">
        <v>50</v>
      </c>
      <c r="Y56" s="6">
        <v>68</v>
      </c>
      <c r="Z56" s="6">
        <v>44</v>
      </c>
      <c r="AA56" s="6">
        <v>75</v>
      </c>
      <c r="AB56" s="6">
        <v>30</v>
      </c>
      <c r="AC56" s="6">
        <v>5</v>
      </c>
      <c r="AD56" s="6">
        <v>6</v>
      </c>
      <c r="AE56" s="6">
        <v>2</v>
      </c>
      <c r="AF56" s="6">
        <v>1</v>
      </c>
      <c r="AH56" s="6" t="s">
        <v>13</v>
      </c>
      <c r="AI56" s="6" t="s">
        <v>51</v>
      </c>
      <c r="AJ56" s="6" t="s">
        <v>266</v>
      </c>
      <c r="AK56" s="6" t="s">
        <v>8</v>
      </c>
      <c r="AY56" s="6" t="str">
        <f>HYPERLINK(".\links\PREV-RHOD-PEP\TI-100-PREV-RHOD-PEP.txt","Contig18015_38")</f>
        <v>Contig18015_38</v>
      </c>
      <c r="AZ56" s="8">
        <v>4.9999999999999999E-29</v>
      </c>
      <c r="BA56" s="6" t="s">
        <v>1052</v>
      </c>
      <c r="BB56" s="6">
        <v>122</v>
      </c>
      <c r="BC56" s="6">
        <v>65</v>
      </c>
      <c r="BD56" s="6">
        <v>439</v>
      </c>
      <c r="BE56" s="6">
        <v>84</v>
      </c>
      <c r="BF56" s="6">
        <v>15</v>
      </c>
      <c r="BG56" s="6">
        <v>10</v>
      </c>
      <c r="BH56" s="6">
        <v>0</v>
      </c>
      <c r="BI56" s="6">
        <v>371</v>
      </c>
      <c r="BJ56" s="6">
        <v>1</v>
      </c>
      <c r="BK56" s="6">
        <v>1</v>
      </c>
      <c r="BL56" s="6" t="s">
        <v>8</v>
      </c>
      <c r="CC56" s="6" t="s">
        <v>8</v>
      </c>
      <c r="CF56" s="6" t="s">
        <v>8</v>
      </c>
      <c r="CI56" s="6" t="s">
        <v>8</v>
      </c>
      <c r="CK56" s="6" t="s">
        <v>8</v>
      </c>
      <c r="CM56" s="6" t="s">
        <v>8</v>
      </c>
      <c r="CO56" s="6" t="s">
        <v>8</v>
      </c>
      <c r="DC56" s="6" t="s">
        <v>8</v>
      </c>
    </row>
    <row r="57" spans="1:120" s="6" customFormat="1">
      <c r="A57" t="str">
        <f>HYPERLINK(".\links\pep\TI-102-pep.txt","TI-102")</f>
        <v>TI-102</v>
      </c>
      <c r="B57">
        <v>102</v>
      </c>
      <c r="C57" t="s">
        <v>11</v>
      </c>
      <c r="D57">
        <v>85</v>
      </c>
      <c r="E57">
        <v>0</v>
      </c>
      <c r="F57" t="str">
        <f>HYPERLINK(".\links\cds\TI-102-cds.txt","TI-102")</f>
        <v>TI-102</v>
      </c>
      <c r="G57">
        <v>258</v>
      </c>
      <c r="H57"/>
      <c r="I57" t="s">
        <v>8</v>
      </c>
      <c r="J57" t="s">
        <v>6</v>
      </c>
      <c r="K57">
        <v>1</v>
      </c>
      <c r="L57">
        <v>1</v>
      </c>
      <c r="M57">
        <f t="shared" si="2"/>
        <v>0</v>
      </c>
      <c r="N57">
        <f t="shared" si="3"/>
        <v>0</v>
      </c>
      <c r="O57" t="s">
        <v>1193</v>
      </c>
      <c r="P57" t="s">
        <v>1175</v>
      </c>
      <c r="Q57" t="str">
        <f>HYPERLINK(".\links\NR-LIGHT\TI-102-NR-LIGHT.txt","NR-LIGHT")</f>
        <v>NR-LIGHT</v>
      </c>
      <c r="R57" s="3">
        <v>6.9999999999999997E-33</v>
      </c>
      <c r="S57">
        <v>76.099999999999994</v>
      </c>
      <c r="T57" t="str">
        <f>HYPERLINK(".\links\NR-LIGHT\TI-102-NR-LIGHT.txt","10 kDa heat shock protein, putative")</f>
        <v>10 kDa heat shock protein, putative</v>
      </c>
      <c r="U57" t="str">
        <f>HYPERLINK("http://www.ncbi.nlm.nih.gov/sutils/blink.cgi?pid=242016119","7E-033")</f>
        <v>7E-033</v>
      </c>
      <c r="V57" t="str">
        <f>HYPERLINK("http://www.ncbi.nlm.nih.gov/protein/242016119","gi|242016119")</f>
        <v>gi|242016119</v>
      </c>
      <c r="W57">
        <v>141</v>
      </c>
      <c r="X57">
        <v>82</v>
      </c>
      <c r="Y57">
        <v>109</v>
      </c>
      <c r="Z57">
        <v>80</v>
      </c>
      <c r="AA57">
        <v>76</v>
      </c>
      <c r="AB57">
        <v>16</v>
      </c>
      <c r="AC57">
        <v>0</v>
      </c>
      <c r="AD57">
        <v>27</v>
      </c>
      <c r="AE57">
        <v>2</v>
      </c>
      <c r="AF57">
        <v>1</v>
      </c>
      <c r="AG57"/>
      <c r="AH57" t="s">
        <v>13</v>
      </c>
      <c r="AI57" t="s">
        <v>51</v>
      </c>
      <c r="AJ57" t="s">
        <v>268</v>
      </c>
      <c r="AK57" t="str">
        <f>HYPERLINK(".\links\SWISSP\TI-102-SWISSP.txt","10 kDa heat shock protein, mitochondrial OS=Schistosoma japonicum GN=SJCHGC01960")</f>
        <v>10 kDa heat shock protein, mitochondrial OS=Schistosoma japonicum GN=SJCHGC01960</v>
      </c>
      <c r="AL57" t="str">
        <f>HYPERLINK("http://www.uniprot.org/uniprot/Q5DC69","1E-022")</f>
        <v>1E-022</v>
      </c>
      <c r="AM57" t="s">
        <v>136</v>
      </c>
      <c r="AN57">
        <v>104</v>
      </c>
      <c r="AO57">
        <v>81</v>
      </c>
      <c r="AP57">
        <v>102</v>
      </c>
      <c r="AQ57">
        <v>61</v>
      </c>
      <c r="AR57">
        <v>80</v>
      </c>
      <c r="AS57">
        <v>32</v>
      </c>
      <c r="AT57">
        <v>1</v>
      </c>
      <c r="AU57">
        <v>20</v>
      </c>
      <c r="AV57">
        <v>2</v>
      </c>
      <c r="AW57">
        <v>1</v>
      </c>
      <c r="AX57" t="s">
        <v>137</v>
      </c>
      <c r="AY57" t="str">
        <f>HYPERLINK(".\links\PREV-RHOD-PEP\TI-102-PREV-RHOD-PEP.txt","Contig17588_10")</f>
        <v>Contig17588_10</v>
      </c>
      <c r="AZ57" s="3">
        <v>8.0000000000000006E-43</v>
      </c>
      <c r="BA57" t="s">
        <v>1053</v>
      </c>
      <c r="BB57">
        <v>168</v>
      </c>
      <c r="BC57">
        <v>84</v>
      </c>
      <c r="BD57">
        <v>92</v>
      </c>
      <c r="BE57">
        <v>96</v>
      </c>
      <c r="BF57">
        <v>92</v>
      </c>
      <c r="BG57">
        <v>3</v>
      </c>
      <c r="BH57">
        <v>0</v>
      </c>
      <c r="BI57">
        <v>8</v>
      </c>
      <c r="BJ57">
        <v>1</v>
      </c>
      <c r="BK57">
        <v>1</v>
      </c>
      <c r="BL57" t="s">
        <v>605</v>
      </c>
      <c r="BM57">
        <f>HYPERLINK(".\links\GO\TI-102-GO.txt",3E-23)</f>
        <v>3E-23</v>
      </c>
      <c r="BN57" t="s">
        <v>606</v>
      </c>
      <c r="BO57" t="s">
        <v>340</v>
      </c>
      <c r="BP57" t="s">
        <v>341</v>
      </c>
      <c r="BQ57" t="s">
        <v>607</v>
      </c>
      <c r="BR57" s="3">
        <v>3E-23</v>
      </c>
      <c r="BS57" t="s">
        <v>608</v>
      </c>
      <c r="BT57" t="s">
        <v>323</v>
      </c>
      <c r="BU57" t="s">
        <v>334</v>
      </c>
      <c r="BV57" t="s">
        <v>609</v>
      </c>
      <c r="BW57" s="3">
        <v>3E-23</v>
      </c>
      <c r="BX57" t="s">
        <v>610</v>
      </c>
      <c r="BY57" t="s">
        <v>340</v>
      </c>
      <c r="BZ57" t="s">
        <v>341</v>
      </c>
      <c r="CA57" t="s">
        <v>611</v>
      </c>
      <c r="CB57" s="3">
        <v>3E-23</v>
      </c>
      <c r="CC57" t="s">
        <v>8</v>
      </c>
      <c r="CD57"/>
      <c r="CE57"/>
      <c r="CF57" t="s">
        <v>8</v>
      </c>
      <c r="CG57"/>
      <c r="CH57"/>
      <c r="CI57" t="s">
        <v>8</v>
      </c>
      <c r="CJ57"/>
      <c r="CK57" t="s">
        <v>8</v>
      </c>
      <c r="CL57"/>
      <c r="CM57" t="s">
        <v>8</v>
      </c>
      <c r="CN57"/>
      <c r="CO57" t="s">
        <v>8</v>
      </c>
      <c r="CP57"/>
      <c r="CQ57"/>
      <c r="CR57"/>
      <c r="CS57"/>
      <c r="CT57"/>
      <c r="CU57"/>
      <c r="CV57"/>
      <c r="CW57"/>
      <c r="CX57"/>
      <c r="CY57"/>
      <c r="CZ57"/>
      <c r="DA57"/>
      <c r="DB57"/>
      <c r="DC57" t="s">
        <v>8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s="6" customFormat="1">
      <c r="A58" s="6" t="str">
        <f>HYPERLINK(".\links\pep\TI-104-pep.txt","TI-104")</f>
        <v>TI-104</v>
      </c>
      <c r="B58" s="6">
        <v>104</v>
      </c>
      <c r="C58" s="6" t="s">
        <v>7</v>
      </c>
      <c r="D58" s="6">
        <v>32</v>
      </c>
      <c r="E58" s="6">
        <v>0</v>
      </c>
      <c r="F58" s="6" t="str">
        <f>HYPERLINK(".\links\cds\TI-104-cds.txt","TI-104")</f>
        <v>TI-104</v>
      </c>
      <c r="G58" s="6">
        <v>99</v>
      </c>
      <c r="I58" s="6" t="s">
        <v>29</v>
      </c>
      <c r="J58" s="6" t="s">
        <v>6</v>
      </c>
      <c r="K58" s="6">
        <v>1</v>
      </c>
      <c r="L58" s="6">
        <v>0</v>
      </c>
      <c r="M58" s="6">
        <f t="shared" si="2"/>
        <v>1</v>
      </c>
      <c r="N58" s="6">
        <f t="shared" si="3"/>
        <v>1</v>
      </c>
      <c r="O58" s="6" t="s">
        <v>1170</v>
      </c>
      <c r="P58" s="6" t="s">
        <v>1171</v>
      </c>
      <c r="T58" s="6" t="s">
        <v>8</v>
      </c>
      <c r="AK58" s="6" t="s">
        <v>8</v>
      </c>
      <c r="AY58" s="6" t="s">
        <v>8</v>
      </c>
      <c r="BL58" s="6" t="s">
        <v>8</v>
      </c>
      <c r="CC58" s="6" t="s">
        <v>8</v>
      </c>
      <c r="CF58" s="6" t="s">
        <v>8</v>
      </c>
      <c r="CI58" s="6" t="s">
        <v>8</v>
      </c>
      <c r="CK58" s="6" t="s">
        <v>8</v>
      </c>
      <c r="CM58" s="6" t="s">
        <v>8</v>
      </c>
      <c r="CO58" s="6" t="s">
        <v>8</v>
      </c>
      <c r="DC58" s="6" t="s">
        <v>8</v>
      </c>
    </row>
    <row r="59" spans="1:120" s="6" customFormat="1">
      <c r="A59" t="str">
        <f>HYPERLINK(".\links\pep\TI-105-pep.txt","TI-105")</f>
        <v>TI-105</v>
      </c>
      <c r="B59">
        <v>105</v>
      </c>
      <c r="C59" t="s">
        <v>13</v>
      </c>
      <c r="D59">
        <v>136</v>
      </c>
      <c r="E59">
        <v>0</v>
      </c>
      <c r="F59" t="str">
        <f>HYPERLINK(".\links\cds\TI-105-cds.txt","TI-105")</f>
        <v>TI-105</v>
      </c>
      <c r="G59">
        <v>411</v>
      </c>
      <c r="H59"/>
      <c r="I59" t="s">
        <v>8</v>
      </c>
      <c r="J59" t="s">
        <v>6</v>
      </c>
      <c r="K59">
        <v>1</v>
      </c>
      <c r="L59">
        <v>0</v>
      </c>
      <c r="M59">
        <f t="shared" si="2"/>
        <v>1</v>
      </c>
      <c r="N59">
        <f t="shared" si="3"/>
        <v>1</v>
      </c>
      <c r="O59" t="s">
        <v>1194</v>
      </c>
      <c r="P59" t="s">
        <v>1190</v>
      </c>
      <c r="Q59" t="str">
        <f>HYPERLINK(".\links\GO\TI-105-GO.txt","GO")</f>
        <v>GO</v>
      </c>
      <c r="R59" s="3">
        <v>9.9999999999999991E-22</v>
      </c>
      <c r="S59">
        <v>44</v>
      </c>
      <c r="T59" t="str">
        <f>HYPERLINK(".\links\NR-LIGHT\TI-105-NR-LIGHT.txt","hypothetical protein LOC551222")</f>
        <v>hypothetical protein LOC551222</v>
      </c>
      <c r="U59" t="str">
        <f>HYPERLINK("http://www.ncbi.nlm.nih.gov/sutils/blink.cgi?pid=328782154","3E-028")</f>
        <v>3E-028</v>
      </c>
      <c r="V59" t="str">
        <f>HYPERLINK("http://www.ncbi.nlm.nih.gov/protein/328782154","gi|328782154")</f>
        <v>gi|328782154</v>
      </c>
      <c r="W59">
        <v>125</v>
      </c>
      <c r="X59">
        <v>122</v>
      </c>
      <c r="Y59">
        <v>268</v>
      </c>
      <c r="Z59">
        <v>47</v>
      </c>
      <c r="AA59">
        <v>46</v>
      </c>
      <c r="AB59">
        <v>67</v>
      </c>
      <c r="AC59">
        <v>7</v>
      </c>
      <c r="AD59">
        <v>1</v>
      </c>
      <c r="AE59">
        <v>9</v>
      </c>
      <c r="AF59">
        <v>1</v>
      </c>
      <c r="AG59"/>
      <c r="AH59" t="s">
        <v>13</v>
      </c>
      <c r="AI59" t="s">
        <v>51</v>
      </c>
      <c r="AJ59" t="s">
        <v>83</v>
      </c>
      <c r="AK59" t="str">
        <f>HYPERLINK(".\links\SWISSP\TI-105-SWISSP.txt","t-SNARE domain-containing protein 1 OS=Homo sapiens GN=TSNARE1 PE=2 SV=2")</f>
        <v>t-SNARE domain-containing protein 1 OS=Homo sapiens GN=TSNARE1 PE=2 SV=2</v>
      </c>
      <c r="AL59" t="str">
        <f>HYPERLINK("http://www.uniprot.org/uniprot/Q96NA8","2E-008")</f>
        <v>2E-008</v>
      </c>
      <c r="AM59" t="s">
        <v>138</v>
      </c>
      <c r="AN59">
        <v>58.2</v>
      </c>
      <c r="AO59">
        <v>123</v>
      </c>
      <c r="AP59">
        <v>513</v>
      </c>
      <c r="AQ59">
        <v>24</v>
      </c>
      <c r="AR59">
        <v>24</v>
      </c>
      <c r="AS59">
        <v>94</v>
      </c>
      <c r="AT59">
        <v>10</v>
      </c>
      <c r="AU59">
        <v>235</v>
      </c>
      <c r="AV59">
        <v>21</v>
      </c>
      <c r="AW59">
        <v>1</v>
      </c>
      <c r="AX59" t="s">
        <v>68</v>
      </c>
      <c r="AY59" t="str">
        <f>HYPERLINK(".\links\PREV-RHOD-PEP\TI-105-PREV-RHOD-PEP.txt","Contig17857_58")</f>
        <v>Contig17857_58</v>
      </c>
      <c r="AZ59" s="3">
        <v>6E-68</v>
      </c>
      <c r="BA59" t="s">
        <v>1054</v>
      </c>
      <c r="BB59">
        <v>251</v>
      </c>
      <c r="BC59">
        <v>129</v>
      </c>
      <c r="BD59">
        <v>259</v>
      </c>
      <c r="BE59">
        <v>94</v>
      </c>
      <c r="BF59">
        <v>50</v>
      </c>
      <c r="BG59">
        <v>7</v>
      </c>
      <c r="BH59">
        <v>0</v>
      </c>
      <c r="BI59">
        <v>1</v>
      </c>
      <c r="BJ59">
        <v>5</v>
      </c>
      <c r="BK59">
        <v>1</v>
      </c>
      <c r="BL59" t="s">
        <v>612</v>
      </c>
      <c r="BM59">
        <f>HYPERLINK(".\links\GO\TI-105-GO.txt",1E-21)</f>
        <v>9.9999999999999991E-22</v>
      </c>
      <c r="BN59" t="s">
        <v>590</v>
      </c>
      <c r="BO59" t="s">
        <v>340</v>
      </c>
      <c r="BP59" t="s">
        <v>341</v>
      </c>
      <c r="BQ59" t="s">
        <v>591</v>
      </c>
      <c r="BR59" s="3">
        <v>9.9999999999999991E-22</v>
      </c>
      <c r="BS59" t="s">
        <v>438</v>
      </c>
      <c r="BT59" t="s">
        <v>323</v>
      </c>
      <c r="BU59" t="s">
        <v>324</v>
      </c>
      <c r="BV59" t="s">
        <v>439</v>
      </c>
      <c r="BW59" s="3">
        <v>9.9999999999999991E-22</v>
      </c>
      <c r="BX59" t="s">
        <v>613</v>
      </c>
      <c r="BY59" t="s">
        <v>340</v>
      </c>
      <c r="BZ59" t="s">
        <v>341</v>
      </c>
      <c r="CA59" t="s">
        <v>614</v>
      </c>
      <c r="CB59" s="3">
        <v>9.9999999999999991E-22</v>
      </c>
      <c r="CC59" t="s">
        <v>8</v>
      </c>
      <c r="CD59"/>
      <c r="CE59"/>
      <c r="CF59" t="s">
        <v>8</v>
      </c>
      <c r="CG59"/>
      <c r="CH59"/>
      <c r="CI59" t="s">
        <v>8</v>
      </c>
      <c r="CJ59"/>
      <c r="CK59" t="s">
        <v>8</v>
      </c>
      <c r="CL59"/>
      <c r="CM59" t="s">
        <v>8</v>
      </c>
      <c r="CN59"/>
      <c r="CO59" t="s">
        <v>8</v>
      </c>
      <c r="CP59"/>
      <c r="CQ59"/>
      <c r="CR59"/>
      <c r="CS59"/>
      <c r="CT59"/>
      <c r="CU59"/>
      <c r="CV59"/>
      <c r="CW59"/>
      <c r="CX59"/>
      <c r="CY59"/>
      <c r="CZ59"/>
      <c r="DA59"/>
      <c r="DB59"/>
      <c r="DC59" t="s">
        <v>8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s="6" customFormat="1">
      <c r="A60" s="6" t="str">
        <f>HYPERLINK(".\links\pep\TI-106-pep.txt","TI-106")</f>
        <v>TI-106</v>
      </c>
      <c r="B60" s="6">
        <v>106</v>
      </c>
      <c r="C60" s="6" t="s">
        <v>14</v>
      </c>
      <c r="D60" s="6">
        <v>56</v>
      </c>
      <c r="E60" s="6">
        <v>0</v>
      </c>
      <c r="F60" s="6" t="str">
        <f>HYPERLINK(".\links\cds\TI-106-cds.txt","TI-106")</f>
        <v>TI-106</v>
      </c>
      <c r="G60" s="6">
        <v>171</v>
      </c>
      <c r="I60" s="6" t="s">
        <v>8</v>
      </c>
      <c r="J60" s="6" t="s">
        <v>6</v>
      </c>
      <c r="K60" s="6">
        <v>1</v>
      </c>
      <c r="L60" s="6">
        <v>0</v>
      </c>
      <c r="M60" s="6">
        <f t="shared" si="2"/>
        <v>1</v>
      </c>
      <c r="N60" s="6">
        <f t="shared" si="3"/>
        <v>1</v>
      </c>
      <c r="O60" s="6" t="s">
        <v>1170</v>
      </c>
      <c r="P60" s="6" t="s">
        <v>1171</v>
      </c>
      <c r="T60" s="6" t="s">
        <v>8</v>
      </c>
      <c r="AK60" s="6" t="s">
        <v>8</v>
      </c>
      <c r="AY60" s="6" t="s">
        <v>8</v>
      </c>
      <c r="BL60" s="6" t="s">
        <v>8</v>
      </c>
      <c r="CC60" s="6" t="s">
        <v>8</v>
      </c>
      <c r="CF60" s="6" t="s">
        <v>8</v>
      </c>
      <c r="CI60" s="6" t="s">
        <v>8</v>
      </c>
      <c r="CK60" s="6" t="s">
        <v>8</v>
      </c>
      <c r="CM60" s="6" t="s">
        <v>8</v>
      </c>
      <c r="CO60" s="6" t="s">
        <v>8</v>
      </c>
      <c r="DC60" s="6" t="s">
        <v>8</v>
      </c>
    </row>
    <row r="61" spans="1:120" s="6" customFormat="1">
      <c r="A61" s="6" t="str">
        <f>HYPERLINK(".\links\pep\TI-108-pep.txt","TI-108")</f>
        <v>TI-108</v>
      </c>
      <c r="B61" s="6">
        <v>108</v>
      </c>
      <c r="C61" s="6" t="s">
        <v>15</v>
      </c>
      <c r="D61" s="6">
        <v>20</v>
      </c>
      <c r="E61" s="6">
        <v>0</v>
      </c>
      <c r="F61" s="6" t="str">
        <f>HYPERLINK(".\links\cds\TI-108-cds.txt","TI-108")</f>
        <v>TI-108</v>
      </c>
      <c r="G61" s="6">
        <v>63</v>
      </c>
      <c r="I61" s="6" t="s">
        <v>8</v>
      </c>
      <c r="J61" s="6" t="s">
        <v>6</v>
      </c>
      <c r="K61" s="6">
        <v>1</v>
      </c>
      <c r="L61" s="6">
        <v>1</v>
      </c>
      <c r="M61" s="6">
        <f t="shared" si="2"/>
        <v>0</v>
      </c>
      <c r="N61" s="6">
        <f t="shared" si="3"/>
        <v>0</v>
      </c>
      <c r="O61" s="6" t="s">
        <v>1170</v>
      </c>
      <c r="P61" s="6" t="s">
        <v>1171</v>
      </c>
      <c r="T61" s="6" t="s">
        <v>8</v>
      </c>
      <c r="AK61" s="6" t="s">
        <v>8</v>
      </c>
      <c r="AY61" s="6" t="s">
        <v>8</v>
      </c>
      <c r="BL61" s="6" t="s">
        <v>8</v>
      </c>
      <c r="CC61" s="6" t="s">
        <v>8</v>
      </c>
      <c r="CF61" s="6" t="s">
        <v>8</v>
      </c>
      <c r="CI61" s="6" t="s">
        <v>8</v>
      </c>
      <c r="CK61" s="6" t="s">
        <v>8</v>
      </c>
      <c r="CM61" s="6" t="s">
        <v>8</v>
      </c>
      <c r="CO61" s="6" t="s">
        <v>8</v>
      </c>
      <c r="DC61" s="6" t="s">
        <v>8</v>
      </c>
    </row>
    <row r="62" spans="1:120" s="6" customFormat="1">
      <c r="A62" s="6" t="str">
        <f>HYPERLINK(".\links\pep\TI-109-pep.txt","TI-109")</f>
        <v>TI-109</v>
      </c>
      <c r="B62" s="6">
        <v>109</v>
      </c>
      <c r="C62" s="6" t="s">
        <v>7</v>
      </c>
      <c r="D62" s="6">
        <v>39</v>
      </c>
      <c r="E62" s="6">
        <v>0</v>
      </c>
      <c r="F62" s="6" t="str">
        <f>HYPERLINK(".\links\cds\TI-109-cds.txt","TI-109")</f>
        <v>TI-109</v>
      </c>
      <c r="G62" s="6">
        <v>120</v>
      </c>
      <c r="I62" s="6" t="s">
        <v>29</v>
      </c>
      <c r="J62" s="6" t="s">
        <v>6</v>
      </c>
      <c r="K62" s="6">
        <v>1</v>
      </c>
      <c r="L62" s="6">
        <v>0</v>
      </c>
      <c r="M62" s="6">
        <f t="shared" si="2"/>
        <v>1</v>
      </c>
      <c r="N62" s="6">
        <f t="shared" si="3"/>
        <v>1</v>
      </c>
      <c r="O62" s="6" t="s">
        <v>1170</v>
      </c>
      <c r="P62" s="6" t="s">
        <v>1171</v>
      </c>
      <c r="T62" s="6" t="s">
        <v>8</v>
      </c>
      <c r="AK62" s="6" t="s">
        <v>8</v>
      </c>
      <c r="AY62" s="6" t="s">
        <v>8</v>
      </c>
      <c r="BL62" s="6" t="s">
        <v>8</v>
      </c>
      <c r="CC62" s="6" t="s">
        <v>8</v>
      </c>
      <c r="CF62" s="6" t="s">
        <v>8</v>
      </c>
      <c r="CI62" s="6" t="s">
        <v>8</v>
      </c>
      <c r="CK62" s="6" t="s">
        <v>8</v>
      </c>
      <c r="CM62" s="6" t="s">
        <v>8</v>
      </c>
      <c r="CO62" s="6" t="s">
        <v>8</v>
      </c>
      <c r="DC62" s="6" t="s">
        <v>8</v>
      </c>
    </row>
    <row r="63" spans="1:120" s="6" customFormat="1">
      <c r="A63" s="6" t="str">
        <f>HYPERLINK(".\links\pep\TI-110-pep.txt","TI-110")</f>
        <v>TI-110</v>
      </c>
      <c r="B63" s="6">
        <v>110</v>
      </c>
      <c r="C63" s="6" t="s">
        <v>17</v>
      </c>
      <c r="D63" s="6">
        <v>44</v>
      </c>
      <c r="E63" s="6">
        <v>0</v>
      </c>
      <c r="F63" s="6" t="str">
        <f>HYPERLINK(".\links\cds\TI-110-cds.txt","TI-110")</f>
        <v>TI-110</v>
      </c>
      <c r="G63" s="6">
        <v>135</v>
      </c>
      <c r="I63" s="6" t="s">
        <v>8</v>
      </c>
      <c r="J63" s="6" t="s">
        <v>6</v>
      </c>
      <c r="K63" s="6">
        <v>1</v>
      </c>
      <c r="L63" s="6">
        <v>0</v>
      </c>
      <c r="M63" s="6">
        <f t="shared" si="2"/>
        <v>1</v>
      </c>
      <c r="N63" s="6">
        <f t="shared" si="3"/>
        <v>1</v>
      </c>
      <c r="O63" s="6" t="s">
        <v>1170</v>
      </c>
      <c r="P63" s="6" t="s">
        <v>1171</v>
      </c>
      <c r="T63" s="6" t="s">
        <v>8</v>
      </c>
      <c r="AK63" s="6" t="s">
        <v>8</v>
      </c>
      <c r="AY63" s="6" t="s">
        <v>8</v>
      </c>
      <c r="BL63" s="6" t="s">
        <v>8</v>
      </c>
      <c r="CC63" s="6" t="s">
        <v>8</v>
      </c>
      <c r="CF63" s="6" t="s">
        <v>8</v>
      </c>
      <c r="CI63" s="6" t="s">
        <v>8</v>
      </c>
      <c r="CK63" s="6" t="s">
        <v>8</v>
      </c>
      <c r="CM63" s="6" t="s">
        <v>8</v>
      </c>
      <c r="CO63" s="6" t="s">
        <v>8</v>
      </c>
      <c r="DC63" s="6" t="s">
        <v>8</v>
      </c>
    </row>
    <row r="64" spans="1:120" s="6" customFormat="1">
      <c r="A64" t="str">
        <f>HYPERLINK(".\links\pep\TI-112-pep.txt","TI-112")</f>
        <v>TI-112</v>
      </c>
      <c r="B64">
        <v>112</v>
      </c>
      <c r="C64" t="s">
        <v>7</v>
      </c>
      <c r="D64">
        <v>138</v>
      </c>
      <c r="E64">
        <v>0</v>
      </c>
      <c r="F64" t="str">
        <f>HYPERLINK(".\links\cds\TI-112-cds.txt","TI-112")</f>
        <v>TI-112</v>
      </c>
      <c r="G64">
        <v>417</v>
      </c>
      <c r="H64"/>
      <c r="I64" t="s">
        <v>29</v>
      </c>
      <c r="J64" t="s">
        <v>6</v>
      </c>
      <c r="K64">
        <v>0</v>
      </c>
      <c r="L64">
        <v>1</v>
      </c>
      <c r="M64">
        <f t="shared" si="2"/>
        <v>-1</v>
      </c>
      <c r="N64">
        <f t="shared" si="3"/>
        <v>1</v>
      </c>
      <c r="O64" t="s">
        <v>1270</v>
      </c>
      <c r="P64" t="s">
        <v>1178</v>
      </c>
      <c r="Q64" t="str">
        <f>HYPERLINK(".\links\NR-LIGHT\TI-112-NR-LIGHT.txt","NR-LIGHT")</f>
        <v>NR-LIGHT</v>
      </c>
      <c r="R64" s="3">
        <v>2E-52</v>
      </c>
      <c r="S64">
        <v>24.2</v>
      </c>
      <c r="T64" t="str">
        <f>HYPERLINK(".\links\NR-LIGHT\TI-112-NR-LIGHT.txt","NADH dehydrogenase subunit 5")</f>
        <v>NADH dehydrogenase subunit 5</v>
      </c>
      <c r="U64" t="str">
        <f>HYPERLINK("http://www.ncbi.nlm.nih.gov/sutils/blink.cgi?pid=11182469","2E-052")</f>
        <v>2E-052</v>
      </c>
      <c r="V64" t="str">
        <f>HYPERLINK("http://www.ncbi.nlm.nih.gov/protein/11182469","gi|11182469")</f>
        <v>gi|11182469</v>
      </c>
      <c r="W64">
        <v>206</v>
      </c>
      <c r="X64">
        <v>137</v>
      </c>
      <c r="Y64">
        <v>570</v>
      </c>
      <c r="Z64">
        <v>73</v>
      </c>
      <c r="AA64">
        <v>24</v>
      </c>
      <c r="AB64">
        <v>37</v>
      </c>
      <c r="AC64">
        <v>0</v>
      </c>
      <c r="AD64">
        <v>329</v>
      </c>
      <c r="AE64">
        <v>1</v>
      </c>
      <c r="AF64">
        <v>1</v>
      </c>
      <c r="AG64"/>
      <c r="AH64" t="s">
        <v>13</v>
      </c>
      <c r="AI64" t="s">
        <v>51</v>
      </c>
      <c r="AJ64" t="s">
        <v>272</v>
      </c>
      <c r="AK64" t="str">
        <f>HYPERLINK(".\links\SWISSP\TI-112-SWISSP.txt","NADH-ubiquinone oxidoreductase chain 5 OS=Drosophila melanogaster GN=mt:ND5 PE=2")</f>
        <v>NADH-ubiquinone oxidoreductase chain 5 OS=Drosophila melanogaster GN=mt:ND5 PE=2</v>
      </c>
      <c r="AL64" t="str">
        <f>HYPERLINK("http://www.uniprot.org/uniprot/P18932","4E-027")</f>
        <v>4E-027</v>
      </c>
      <c r="AM64" t="s">
        <v>139</v>
      </c>
      <c r="AN64">
        <v>119</v>
      </c>
      <c r="AO64">
        <v>138</v>
      </c>
      <c r="AP64">
        <v>572</v>
      </c>
      <c r="AQ64">
        <v>42</v>
      </c>
      <c r="AR64">
        <v>24</v>
      </c>
      <c r="AS64">
        <v>80</v>
      </c>
      <c r="AT64">
        <v>1</v>
      </c>
      <c r="AU64">
        <v>326</v>
      </c>
      <c r="AV64">
        <v>1</v>
      </c>
      <c r="AW64">
        <v>1</v>
      </c>
      <c r="AX64" t="s">
        <v>52</v>
      </c>
      <c r="AY64" t="str">
        <f>HYPERLINK(".\links\PREV-RHOD-PEP\TI-112-PREV-RHOD-PEP.txt","Contig7823_1")</f>
        <v>Contig7823_1</v>
      </c>
      <c r="AZ64" s="3">
        <v>9.9999999999999994E-12</v>
      </c>
      <c r="BA64" t="s">
        <v>1055</v>
      </c>
      <c r="BB64">
        <v>65.099999999999994</v>
      </c>
      <c r="BC64">
        <v>43</v>
      </c>
      <c r="BD64">
        <v>159</v>
      </c>
      <c r="BE64">
        <v>63</v>
      </c>
      <c r="BF64">
        <v>28</v>
      </c>
      <c r="BG64">
        <v>16</v>
      </c>
      <c r="BH64">
        <v>0</v>
      </c>
      <c r="BI64">
        <v>113</v>
      </c>
      <c r="BJ64">
        <v>1</v>
      </c>
      <c r="BK64">
        <v>1</v>
      </c>
      <c r="BL64" t="s">
        <v>615</v>
      </c>
      <c r="BM64">
        <f>HYPERLINK(".\links\GO\TI-112-GO.txt",1E-27)</f>
        <v>1E-27</v>
      </c>
      <c r="BN64" t="s">
        <v>373</v>
      </c>
      <c r="BO64" t="s">
        <v>373</v>
      </c>
      <c r="BP64"/>
      <c r="BQ64" t="s">
        <v>374</v>
      </c>
      <c r="BR64">
        <v>2.9999999999999998E-15</v>
      </c>
      <c r="BS64" t="s">
        <v>616</v>
      </c>
      <c r="BT64" t="s">
        <v>323</v>
      </c>
      <c r="BU64" t="s">
        <v>390</v>
      </c>
      <c r="BV64" t="s">
        <v>617</v>
      </c>
      <c r="BW64">
        <v>2.9999999999999998E-15</v>
      </c>
      <c r="BX64" t="s">
        <v>618</v>
      </c>
      <c r="BY64" t="s">
        <v>373</v>
      </c>
      <c r="BZ64"/>
      <c r="CA64" t="s">
        <v>619</v>
      </c>
      <c r="CB64">
        <v>2.9999999999999998E-15</v>
      </c>
      <c r="CC64" t="s">
        <v>8</v>
      </c>
      <c r="CD64"/>
      <c r="CE64"/>
      <c r="CF64" t="s">
        <v>8</v>
      </c>
      <c r="CG64"/>
      <c r="CH64"/>
      <c r="CI64" t="s">
        <v>8</v>
      </c>
      <c r="CJ64"/>
      <c r="CK64" t="s">
        <v>8</v>
      </c>
      <c r="CL64"/>
      <c r="CM64" t="s">
        <v>8</v>
      </c>
      <c r="CN64"/>
      <c r="CO64" t="s">
        <v>8</v>
      </c>
      <c r="CP64"/>
      <c r="CQ64"/>
      <c r="CR64"/>
      <c r="CS64"/>
      <c r="CT64"/>
      <c r="CU64"/>
      <c r="CV64"/>
      <c r="CW64"/>
      <c r="CX64"/>
      <c r="CY64"/>
      <c r="CZ64"/>
      <c r="DA64"/>
      <c r="DB64"/>
      <c r="DC64" t="s">
        <v>8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s="6" customFormat="1">
      <c r="A65" t="str">
        <f>HYPERLINK(".\links\pep\TI-113-pep.txt","TI-113")</f>
        <v>TI-113</v>
      </c>
      <c r="B65">
        <v>113</v>
      </c>
      <c r="C65" t="s">
        <v>7</v>
      </c>
      <c r="D65">
        <v>161</v>
      </c>
      <c r="E65" s="2">
        <v>1.863354</v>
      </c>
      <c r="F65" t="str">
        <f>HYPERLINK(".\links\cds\TI-113-cds.txt","TI-113")</f>
        <v>TI-113</v>
      </c>
      <c r="G65">
        <v>481</v>
      </c>
      <c r="H65"/>
      <c r="I65" t="s">
        <v>29</v>
      </c>
      <c r="J65" t="s">
        <v>8</v>
      </c>
      <c r="K65">
        <v>1</v>
      </c>
      <c r="L65">
        <v>0</v>
      </c>
      <c r="M65">
        <f t="shared" si="2"/>
        <v>1</v>
      </c>
      <c r="N65">
        <f t="shared" si="3"/>
        <v>1</v>
      </c>
      <c r="O65" t="s">
        <v>1271</v>
      </c>
      <c r="P65" t="s">
        <v>1187</v>
      </c>
      <c r="Q65" t="str">
        <f>HYPERLINK(".\links\NR-LIGHT\TI-113-NR-LIGHT.txt","NR-LIGHT")</f>
        <v>NR-LIGHT</v>
      </c>
      <c r="R65" s="3">
        <v>9.9999999999999993E-77</v>
      </c>
      <c r="S65">
        <v>56.6</v>
      </c>
      <c r="T65" t="str">
        <f>HYPERLINK(".\links\NR-LIGHT\TI-113-NR-LIGHT.txt","p38 map kinase")</f>
        <v>p38 map kinase</v>
      </c>
      <c r="U65" t="str">
        <f>HYPERLINK("http://www.ncbi.nlm.nih.gov/sutils/blink.cgi?pid=218749850","7E-077")</f>
        <v>7E-077</v>
      </c>
      <c r="V65" t="str">
        <f>HYPERLINK("http://www.ncbi.nlm.nih.gov/protein/218749850","gi|218749850")</f>
        <v>gi|218749850</v>
      </c>
      <c r="W65">
        <v>287</v>
      </c>
      <c r="X65">
        <v>203</v>
      </c>
      <c r="Y65">
        <v>356</v>
      </c>
      <c r="Z65">
        <v>68</v>
      </c>
      <c r="AA65">
        <v>57</v>
      </c>
      <c r="AB65">
        <v>64</v>
      </c>
      <c r="AC65">
        <v>43</v>
      </c>
      <c r="AD65">
        <v>1</v>
      </c>
      <c r="AE65">
        <v>1</v>
      </c>
      <c r="AF65">
        <v>1</v>
      </c>
      <c r="AG65"/>
      <c r="AH65" t="s">
        <v>13</v>
      </c>
      <c r="AI65" t="s">
        <v>51</v>
      </c>
      <c r="AJ65" t="s">
        <v>274</v>
      </c>
      <c r="AK65" t="str">
        <f>HYPERLINK(".\links\SWISSP\TI-113-SWISSP.txt","Mitogen-activated protein kinase 14B OS=Drosophila melanogaster GN=p38b PE=1")</f>
        <v>Mitogen-activated protein kinase 14B OS=Drosophila melanogaster GN=p38b PE=1</v>
      </c>
      <c r="AL65" t="str">
        <f>HYPERLINK("http://www.uniprot.org/uniprot/O61443","8E-070")</f>
        <v>8E-070</v>
      </c>
      <c r="AM65" t="s">
        <v>101</v>
      </c>
      <c r="AN65">
        <v>262</v>
      </c>
      <c r="AO65">
        <v>206</v>
      </c>
      <c r="AP65">
        <v>365</v>
      </c>
      <c r="AQ65">
        <v>61</v>
      </c>
      <c r="AR65">
        <v>57</v>
      </c>
      <c r="AS65">
        <v>80</v>
      </c>
      <c r="AT65">
        <v>46</v>
      </c>
      <c r="AU65">
        <v>5</v>
      </c>
      <c r="AV65">
        <v>1</v>
      </c>
      <c r="AW65">
        <v>1</v>
      </c>
      <c r="AX65" t="s">
        <v>52</v>
      </c>
      <c r="AY65" t="str">
        <f>HYPERLINK(".\links\PREV-RHOD-PEP\TI-113-PREV-RHOD-PEP.txt","Contig17970_150")</f>
        <v>Contig17970_150</v>
      </c>
      <c r="AZ65" s="3">
        <v>1.0000000000000001E-86</v>
      </c>
      <c r="BA65" t="s">
        <v>1016</v>
      </c>
      <c r="BB65">
        <v>314</v>
      </c>
      <c r="BC65">
        <v>203</v>
      </c>
      <c r="BD65">
        <v>358</v>
      </c>
      <c r="BE65">
        <v>76</v>
      </c>
      <c r="BF65">
        <v>57</v>
      </c>
      <c r="BG65">
        <v>48</v>
      </c>
      <c r="BH65">
        <v>43</v>
      </c>
      <c r="BI65">
        <v>1</v>
      </c>
      <c r="BJ65">
        <v>1</v>
      </c>
      <c r="BK65">
        <v>1</v>
      </c>
      <c r="BL65" t="s">
        <v>481</v>
      </c>
      <c r="BM65">
        <f>HYPERLINK(".\links\GO\TI-113-GO.txt",2E-70)</f>
        <v>2E-70</v>
      </c>
      <c r="BN65" t="s">
        <v>482</v>
      </c>
      <c r="BO65" t="s">
        <v>345</v>
      </c>
      <c r="BP65" t="s">
        <v>346</v>
      </c>
      <c r="BQ65" t="s">
        <v>483</v>
      </c>
      <c r="BR65" s="3">
        <v>2E-70</v>
      </c>
      <c r="BS65" t="s">
        <v>447</v>
      </c>
      <c r="BT65" t="s">
        <v>323</v>
      </c>
      <c r="BU65" t="s">
        <v>334</v>
      </c>
      <c r="BV65" t="s">
        <v>448</v>
      </c>
      <c r="BW65" s="3">
        <v>2E-70</v>
      </c>
      <c r="BX65" t="s">
        <v>484</v>
      </c>
      <c r="BY65" t="s">
        <v>345</v>
      </c>
      <c r="BZ65" t="s">
        <v>346</v>
      </c>
      <c r="CA65" t="s">
        <v>485</v>
      </c>
      <c r="CB65" s="3">
        <v>2E-70</v>
      </c>
      <c r="CC65" t="s">
        <v>8</v>
      </c>
      <c r="CD65"/>
      <c r="CE65"/>
      <c r="CF65" t="s">
        <v>8</v>
      </c>
      <c r="CG65"/>
      <c r="CH65"/>
      <c r="CI65" t="s">
        <v>8</v>
      </c>
      <c r="CJ65"/>
      <c r="CK65" t="s">
        <v>8</v>
      </c>
      <c r="CL65"/>
      <c r="CM65" t="s">
        <v>8</v>
      </c>
      <c r="CN65"/>
      <c r="CO65" t="s">
        <v>8</v>
      </c>
      <c r="CP65"/>
      <c r="CQ65"/>
      <c r="CR65"/>
      <c r="CS65"/>
      <c r="CT65"/>
      <c r="CU65"/>
      <c r="CV65"/>
      <c r="CW65"/>
      <c r="CX65"/>
      <c r="CY65"/>
      <c r="CZ65"/>
      <c r="DA65"/>
      <c r="DB65"/>
      <c r="DC65" t="s">
        <v>8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s="6" customFormat="1">
      <c r="A66" s="6" t="str">
        <f>HYPERLINK(".\links\pep\TI-115-pep.txt","TI-115")</f>
        <v>TI-115</v>
      </c>
      <c r="B66" s="6">
        <v>115</v>
      </c>
      <c r="C66" s="6" t="s">
        <v>7</v>
      </c>
      <c r="D66" s="6">
        <v>27</v>
      </c>
      <c r="E66" s="6">
        <v>0</v>
      </c>
      <c r="F66" s="6" t="str">
        <f>HYPERLINK(".\links\cds\TI-115-cds.txt","TI-115")</f>
        <v>TI-115</v>
      </c>
      <c r="G66" s="6">
        <v>84</v>
      </c>
      <c r="I66" s="6" t="s">
        <v>29</v>
      </c>
      <c r="J66" s="6" t="s">
        <v>6</v>
      </c>
      <c r="K66" s="6">
        <v>1</v>
      </c>
      <c r="L66" s="6">
        <v>0</v>
      </c>
      <c r="M66" s="6">
        <f t="shared" si="2"/>
        <v>1</v>
      </c>
      <c r="N66" s="6">
        <f t="shared" si="3"/>
        <v>1</v>
      </c>
      <c r="O66" s="6" t="s">
        <v>1170</v>
      </c>
      <c r="P66" s="6" t="s">
        <v>1171</v>
      </c>
      <c r="T66" s="6" t="s">
        <v>8</v>
      </c>
      <c r="AK66" s="6" t="s">
        <v>8</v>
      </c>
      <c r="AY66" s="6" t="s">
        <v>8</v>
      </c>
      <c r="BL66" s="6" t="s">
        <v>8</v>
      </c>
      <c r="CC66" s="6" t="s">
        <v>8</v>
      </c>
      <c r="CF66" s="6" t="s">
        <v>8</v>
      </c>
      <c r="CI66" s="6" t="s">
        <v>8</v>
      </c>
      <c r="CK66" s="6" t="s">
        <v>8</v>
      </c>
      <c r="CM66" s="6" t="s">
        <v>8</v>
      </c>
      <c r="CO66" s="6" t="s">
        <v>8</v>
      </c>
      <c r="DC66" s="6" t="s">
        <v>8</v>
      </c>
    </row>
    <row r="67" spans="1:120" s="6" customFormat="1">
      <c r="A67" s="6" t="str">
        <f>HYPERLINK(".\links\pep\TI-116-pep.txt","TI-116")</f>
        <v>TI-116</v>
      </c>
      <c r="B67" s="6">
        <v>116</v>
      </c>
      <c r="C67" s="6" t="s">
        <v>12</v>
      </c>
      <c r="D67" s="6">
        <v>68</v>
      </c>
      <c r="E67" s="6">
        <v>0</v>
      </c>
      <c r="F67" s="6" t="str">
        <f>HYPERLINK(".\links\cds\TI-116-cds.txt","TI-116")</f>
        <v>TI-116</v>
      </c>
      <c r="G67" s="6">
        <v>207</v>
      </c>
      <c r="I67" s="6" t="s">
        <v>8</v>
      </c>
      <c r="J67" s="6" t="s">
        <v>6</v>
      </c>
      <c r="K67" s="6">
        <v>1</v>
      </c>
      <c r="L67" s="6">
        <v>0</v>
      </c>
      <c r="M67" s="6">
        <f t="shared" si="2"/>
        <v>1</v>
      </c>
      <c r="N67" s="6">
        <f t="shared" si="3"/>
        <v>1</v>
      </c>
      <c r="O67" s="6" t="s">
        <v>1170</v>
      </c>
      <c r="P67" s="6" t="s">
        <v>1171</v>
      </c>
      <c r="T67" s="6" t="s">
        <v>8</v>
      </c>
      <c r="AK67" s="6" t="s">
        <v>8</v>
      </c>
      <c r="AY67" s="6" t="s">
        <v>8</v>
      </c>
      <c r="BL67" s="6" t="s">
        <v>8</v>
      </c>
      <c r="CC67" s="6" t="s">
        <v>8</v>
      </c>
      <c r="CF67" s="6" t="s">
        <v>8</v>
      </c>
      <c r="CI67" s="6" t="s">
        <v>8</v>
      </c>
      <c r="CK67" s="6" t="s">
        <v>8</v>
      </c>
      <c r="CM67" s="6" t="s">
        <v>8</v>
      </c>
      <c r="CO67" s="6" t="s">
        <v>8</v>
      </c>
      <c r="DC67" s="6" t="s">
        <v>8</v>
      </c>
    </row>
    <row r="68" spans="1:120" s="6" customFormat="1">
      <c r="A68" s="6" t="str">
        <f>HYPERLINK(".\links\pep\TI-117-pep.txt","TI-117")</f>
        <v>TI-117</v>
      </c>
      <c r="B68" s="6">
        <v>117</v>
      </c>
      <c r="C68" s="6" t="s">
        <v>10</v>
      </c>
      <c r="D68" s="6">
        <v>25</v>
      </c>
      <c r="E68" s="6">
        <v>0</v>
      </c>
      <c r="F68" s="6" t="str">
        <f>HYPERLINK(".\links\cds\TI-117-cds.txt","TI-117")</f>
        <v>TI-117</v>
      </c>
      <c r="G68" s="6">
        <v>78</v>
      </c>
      <c r="I68" s="6" t="s">
        <v>8</v>
      </c>
      <c r="J68" s="6" t="s">
        <v>6</v>
      </c>
      <c r="K68" s="6">
        <v>1</v>
      </c>
      <c r="L68" s="6">
        <v>0</v>
      </c>
      <c r="M68" s="6">
        <f t="shared" si="2"/>
        <v>1</v>
      </c>
      <c r="N68" s="6">
        <f t="shared" si="3"/>
        <v>1</v>
      </c>
      <c r="O68" s="6" t="s">
        <v>1170</v>
      </c>
      <c r="P68" s="6" t="s">
        <v>1171</v>
      </c>
      <c r="T68" s="6" t="s">
        <v>8</v>
      </c>
      <c r="AK68" s="6" t="s">
        <v>8</v>
      </c>
      <c r="AY68" s="6" t="s">
        <v>8</v>
      </c>
      <c r="BL68" s="6" t="s">
        <v>8</v>
      </c>
      <c r="CC68" s="6" t="s">
        <v>8</v>
      </c>
      <c r="CF68" s="6" t="s">
        <v>8</v>
      </c>
      <c r="CI68" s="6" t="s">
        <v>8</v>
      </c>
      <c r="CK68" s="6" t="s">
        <v>8</v>
      </c>
      <c r="CM68" s="6" t="s">
        <v>8</v>
      </c>
      <c r="CO68" s="6" t="s">
        <v>8</v>
      </c>
      <c r="DC68" s="6" t="s">
        <v>8</v>
      </c>
    </row>
    <row r="69" spans="1:120" s="6" customFormat="1">
      <c r="A69" t="str">
        <f>HYPERLINK(".\links\pep\TI-118-pep.txt","TI-118")</f>
        <v>TI-118</v>
      </c>
      <c r="B69">
        <v>118</v>
      </c>
      <c r="C69" t="s">
        <v>16</v>
      </c>
      <c r="D69">
        <v>272</v>
      </c>
      <c r="E69" s="2">
        <v>6.9852939999999997</v>
      </c>
      <c r="F69" t="str">
        <f>HYPERLINK(".\links\cds\TI-118-cds.txt","TI-118")</f>
        <v>TI-118</v>
      </c>
      <c r="G69">
        <v>819</v>
      </c>
      <c r="H69" t="s">
        <v>24</v>
      </c>
      <c r="I69" t="s">
        <v>8</v>
      </c>
      <c r="J69" t="s">
        <v>6</v>
      </c>
      <c r="K69">
        <v>1</v>
      </c>
      <c r="L69">
        <v>0</v>
      </c>
      <c r="M69">
        <f t="shared" si="2"/>
        <v>1</v>
      </c>
      <c r="N69">
        <f t="shared" si="3"/>
        <v>1</v>
      </c>
      <c r="O69" t="s">
        <v>1272</v>
      </c>
      <c r="P69" t="s">
        <v>1187</v>
      </c>
      <c r="Q69" t="str">
        <f>HYPERLINK(".\links\GO\TI-118-GO.txt","GO")</f>
        <v>GO</v>
      </c>
      <c r="R69" s="3">
        <v>4.0000000000000002E-25</v>
      </c>
      <c r="S69">
        <v>81.900000000000006</v>
      </c>
      <c r="T69" t="str">
        <f>HYPERLINK(".\links\NR-LIGHT\TI-118-NR-LIGHT.txt","similar to EG:8D8.7")</f>
        <v>similar to EG:8D8.7</v>
      </c>
      <c r="U69" t="str">
        <f>HYPERLINK("http://www.ncbi.nlm.nih.gov/sutils/blink.cgi?pid=156552185","9E-030")</f>
        <v>9E-030</v>
      </c>
      <c r="V69" t="str">
        <f>HYPERLINK("http://www.ncbi.nlm.nih.gov/protein/156552185","gi|156552185")</f>
        <v>gi|156552185</v>
      </c>
      <c r="W69">
        <v>132</v>
      </c>
      <c r="X69">
        <v>198</v>
      </c>
      <c r="Y69">
        <v>244</v>
      </c>
      <c r="Z69">
        <v>33</v>
      </c>
      <c r="AA69">
        <v>82</v>
      </c>
      <c r="AB69">
        <v>133</v>
      </c>
      <c r="AC69">
        <v>1</v>
      </c>
      <c r="AD69">
        <v>12</v>
      </c>
      <c r="AE69">
        <v>9</v>
      </c>
      <c r="AF69">
        <v>1</v>
      </c>
      <c r="AG69"/>
      <c r="AH69" t="s">
        <v>13</v>
      </c>
      <c r="AI69" t="s">
        <v>51</v>
      </c>
      <c r="AJ69" t="s">
        <v>274</v>
      </c>
      <c r="AK69" t="str">
        <f>HYPERLINK(".\links\SWISSP\TI-118-SWISSP.txt","CD81 protein OS=Saguinus oedipus GN=CD81 PE=2 SV=1")</f>
        <v>CD81 protein OS=Saguinus oedipus GN=CD81 PE=2 SV=1</v>
      </c>
      <c r="AL69" t="str">
        <f>HYPERLINK("http://www.uniprot.org/uniprot/Q9N0J9","1E-009")</f>
        <v>1E-009</v>
      </c>
      <c r="AM69" t="s">
        <v>71</v>
      </c>
      <c r="AN69">
        <v>63.9</v>
      </c>
      <c r="AO69">
        <v>150</v>
      </c>
      <c r="AP69">
        <v>236</v>
      </c>
      <c r="AQ69">
        <v>29</v>
      </c>
      <c r="AR69">
        <v>64</v>
      </c>
      <c r="AS69">
        <v>109</v>
      </c>
      <c r="AT69">
        <v>13</v>
      </c>
      <c r="AU69">
        <v>10</v>
      </c>
      <c r="AV69">
        <v>17</v>
      </c>
      <c r="AW69">
        <v>1</v>
      </c>
      <c r="AX69" t="s">
        <v>72</v>
      </c>
      <c r="AY69" t="str">
        <f>HYPERLINK(".\links\PREV-RHOD-PEP\TI-118-PREV-RHOD-PEP.txt","Contig17265_15")</f>
        <v>Contig17265_15</v>
      </c>
      <c r="AZ69" s="3">
        <v>1.9999999999999999E-69</v>
      </c>
      <c r="BA69" t="s">
        <v>999</v>
      </c>
      <c r="BB69">
        <v>258</v>
      </c>
      <c r="BC69">
        <v>199</v>
      </c>
      <c r="BD69">
        <v>233</v>
      </c>
      <c r="BE69">
        <v>65</v>
      </c>
      <c r="BF69">
        <v>86</v>
      </c>
      <c r="BG69">
        <v>70</v>
      </c>
      <c r="BH69">
        <v>0</v>
      </c>
      <c r="BI69">
        <v>4</v>
      </c>
      <c r="BJ69">
        <v>9</v>
      </c>
      <c r="BK69">
        <v>1</v>
      </c>
      <c r="BL69" t="s">
        <v>394</v>
      </c>
      <c r="BM69">
        <f>HYPERLINK(".\links\GO\TI-118-GO.txt",4E-25)</f>
        <v>4.0000000000000002E-25</v>
      </c>
      <c r="BN69" t="s">
        <v>339</v>
      </c>
      <c r="BO69" t="s">
        <v>340</v>
      </c>
      <c r="BP69" t="s">
        <v>341</v>
      </c>
      <c r="BQ69" t="s">
        <v>342</v>
      </c>
      <c r="BR69">
        <v>4.0000000000000001E-10</v>
      </c>
      <c r="BS69" t="s">
        <v>356</v>
      </c>
      <c r="BT69" t="s">
        <v>323</v>
      </c>
      <c r="BU69" t="s">
        <v>334</v>
      </c>
      <c r="BV69" t="s">
        <v>357</v>
      </c>
      <c r="BW69">
        <v>4.0000000000000001E-10</v>
      </c>
      <c r="BX69" t="s">
        <v>395</v>
      </c>
      <c r="BY69" t="s">
        <v>340</v>
      </c>
      <c r="BZ69" t="s">
        <v>341</v>
      </c>
      <c r="CA69" t="s">
        <v>396</v>
      </c>
      <c r="CB69">
        <v>4.0000000000000001E-10</v>
      </c>
      <c r="CC69" t="s">
        <v>8</v>
      </c>
      <c r="CD69"/>
      <c r="CE69"/>
      <c r="CF69" t="s">
        <v>8</v>
      </c>
      <c r="CG69"/>
      <c r="CH69"/>
      <c r="CI69" t="s">
        <v>8</v>
      </c>
      <c r="CJ69"/>
      <c r="CK69" t="s">
        <v>8</v>
      </c>
      <c r="CL69"/>
      <c r="CM69" t="s">
        <v>8</v>
      </c>
      <c r="CN69"/>
      <c r="CO69" t="s">
        <v>8</v>
      </c>
      <c r="CP69"/>
      <c r="CQ69"/>
      <c r="CR69"/>
      <c r="CS69"/>
      <c r="CT69"/>
      <c r="CU69"/>
      <c r="CV69"/>
      <c r="CW69"/>
      <c r="CX69"/>
      <c r="CY69"/>
      <c r="CZ69"/>
      <c r="DA69"/>
      <c r="DB69"/>
      <c r="DC69" t="s">
        <v>8</v>
      </c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s="6" customFormat="1">
      <c r="A70" t="str">
        <f>HYPERLINK(".\links\pep\TI-121-pep.txt","TI-121")</f>
        <v>TI-121</v>
      </c>
      <c r="B70">
        <v>121</v>
      </c>
      <c r="C70" t="s">
        <v>13</v>
      </c>
      <c r="D70">
        <v>154</v>
      </c>
      <c r="E70" s="2">
        <v>9.7402599999999993</v>
      </c>
      <c r="F70" t="str">
        <f>HYPERLINK(".\links\cds\TI-121-cds.txt","TI-121")</f>
        <v>TI-121</v>
      </c>
      <c r="G70">
        <v>465</v>
      </c>
      <c r="H70" t="s">
        <v>24</v>
      </c>
      <c r="I70" t="s">
        <v>8</v>
      </c>
      <c r="J70" t="s">
        <v>6</v>
      </c>
      <c r="K70">
        <v>0</v>
      </c>
      <c r="L70">
        <v>1</v>
      </c>
      <c r="M70">
        <f t="shared" si="2"/>
        <v>-1</v>
      </c>
      <c r="N70">
        <f t="shared" si="3"/>
        <v>1</v>
      </c>
      <c r="O70" t="s">
        <v>1195</v>
      </c>
      <c r="P70" t="s">
        <v>1196</v>
      </c>
      <c r="Q70" t="str">
        <f>HYPERLINK(".\links\NR-LIGHT\TI-121-NR-LIGHT.txt","NR-LIGHT")</f>
        <v>NR-LIGHT</v>
      </c>
      <c r="R70" s="3">
        <v>2.0000000000000001E-53</v>
      </c>
      <c r="S70">
        <v>8.4</v>
      </c>
      <c r="T70" t="str">
        <f>HYPERLINK(".\links\NR-LIGHT\TI-121-NR-LIGHT.txt","nonstructural protein precursor")</f>
        <v>nonstructural protein precursor</v>
      </c>
      <c r="U70" t="str">
        <f>HYPERLINK("http://www.ncbi.nlm.nih.gov/sutils/blink.cgi?pid=20451029","2E-053")</f>
        <v>2E-053</v>
      </c>
      <c r="V70" t="str">
        <f>HYPERLINK("http://www.ncbi.nlm.nih.gov/protein/20451029","gi|20451029")</f>
        <v>gi|20451029</v>
      </c>
      <c r="W70">
        <v>209</v>
      </c>
      <c r="X70">
        <v>151</v>
      </c>
      <c r="Y70">
        <v>1795</v>
      </c>
      <c r="Z70">
        <v>67</v>
      </c>
      <c r="AA70">
        <v>8</v>
      </c>
      <c r="AB70">
        <v>50</v>
      </c>
      <c r="AC70">
        <v>0</v>
      </c>
      <c r="AD70">
        <v>211</v>
      </c>
      <c r="AE70">
        <v>3</v>
      </c>
      <c r="AF70">
        <v>1</v>
      </c>
      <c r="AG70"/>
      <c r="AH70" t="s">
        <v>13</v>
      </c>
      <c r="AI70" t="s">
        <v>51</v>
      </c>
      <c r="AJ70" t="s">
        <v>269</v>
      </c>
      <c r="AK70" t="s">
        <v>8</v>
      </c>
      <c r="AL70"/>
      <c r="AM70"/>
      <c r="AN70"/>
      <c r="AO70"/>
      <c r="AP70"/>
      <c r="AQ70"/>
      <c r="AR70"/>
      <c r="AS70"/>
      <c r="AT70"/>
      <c r="AU70"/>
      <c r="AV70"/>
      <c r="AW70"/>
      <c r="AX70"/>
      <c r="AY70" t="s">
        <v>8</v>
      </c>
      <c r="AZ70"/>
      <c r="BA70"/>
      <c r="BB70"/>
      <c r="BC70"/>
      <c r="BD70"/>
      <c r="BE70"/>
      <c r="BF70"/>
      <c r="BG70"/>
      <c r="BH70"/>
      <c r="BI70"/>
      <c r="BJ70"/>
      <c r="BK70"/>
      <c r="BL70" t="s">
        <v>8</v>
      </c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 t="s">
        <v>8</v>
      </c>
      <c r="CD70"/>
      <c r="CE70"/>
      <c r="CF70" t="s">
        <v>8</v>
      </c>
      <c r="CG70"/>
      <c r="CH70"/>
      <c r="CI70" t="s">
        <v>8</v>
      </c>
      <c r="CJ70"/>
      <c r="CK70" t="s">
        <v>8</v>
      </c>
      <c r="CL70"/>
      <c r="CM70" t="s">
        <v>8</v>
      </c>
      <c r="CN70"/>
      <c r="CO70" t="s">
        <v>8</v>
      </c>
      <c r="CP70"/>
      <c r="CQ70"/>
      <c r="CR70"/>
      <c r="CS70"/>
      <c r="CT70"/>
      <c r="CU70"/>
      <c r="CV70"/>
      <c r="CW70"/>
      <c r="CX70"/>
      <c r="CY70"/>
      <c r="CZ70"/>
      <c r="DA70"/>
      <c r="DB70"/>
      <c r="DC70" t="s">
        <v>8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s="6" customFormat="1">
      <c r="A71" s="6" t="str">
        <f>HYPERLINK(".\links\pep\TI-122-pep.txt","TI-122")</f>
        <v>TI-122</v>
      </c>
      <c r="B71" s="6">
        <v>122</v>
      </c>
      <c r="C71" s="6" t="s">
        <v>20</v>
      </c>
      <c r="D71" s="6">
        <v>123</v>
      </c>
      <c r="E71" s="7">
        <v>30.894310000000001</v>
      </c>
      <c r="F71" s="6" t="str">
        <f>HYPERLINK(".\links\cds\TI-122-cds.txt","TI-122")</f>
        <v>TI-122</v>
      </c>
      <c r="G71" s="6">
        <v>368</v>
      </c>
      <c r="H71" s="6" t="s">
        <v>24</v>
      </c>
      <c r="I71" s="6" t="s">
        <v>8</v>
      </c>
      <c r="J71" s="6" t="s">
        <v>8</v>
      </c>
      <c r="K71" s="6">
        <v>0</v>
      </c>
      <c r="L71" s="6">
        <v>1</v>
      </c>
      <c r="M71" s="6">
        <f t="shared" si="2"/>
        <v>-1</v>
      </c>
      <c r="N71" s="6">
        <f t="shared" si="3"/>
        <v>1</v>
      </c>
      <c r="O71" s="6" t="s">
        <v>1170</v>
      </c>
      <c r="P71" s="6" t="s">
        <v>1171</v>
      </c>
      <c r="T71" s="6" t="s">
        <v>8</v>
      </c>
      <c r="AK71" s="6" t="s">
        <v>8</v>
      </c>
      <c r="AY71" s="6" t="s">
        <v>8</v>
      </c>
      <c r="BL71" s="6" t="s">
        <v>8</v>
      </c>
      <c r="CC71" s="6" t="s">
        <v>8</v>
      </c>
      <c r="CF71" s="6" t="s">
        <v>8</v>
      </c>
      <c r="CI71" s="6" t="s">
        <v>8</v>
      </c>
      <c r="CK71" s="6" t="s">
        <v>8</v>
      </c>
      <c r="CM71" s="6" t="s">
        <v>8</v>
      </c>
      <c r="CO71" s="6" t="s">
        <v>8</v>
      </c>
      <c r="DC71" s="6" t="s">
        <v>8</v>
      </c>
    </row>
    <row r="72" spans="1:120" s="6" customFormat="1">
      <c r="A72" t="str">
        <f>HYPERLINK(".\links\pep\TI-123-pep.txt","TI-123")</f>
        <v>TI-123</v>
      </c>
      <c r="B72">
        <v>123</v>
      </c>
      <c r="C72" t="s">
        <v>9</v>
      </c>
      <c r="D72">
        <v>155</v>
      </c>
      <c r="E72">
        <v>0</v>
      </c>
      <c r="F72" t="str">
        <f>HYPERLINK(".\links\cds\TI-123-cds.txt","TI-123")</f>
        <v>TI-123</v>
      </c>
      <c r="G72">
        <v>468</v>
      </c>
      <c r="H72"/>
      <c r="I72" t="s">
        <v>8</v>
      </c>
      <c r="J72" t="s">
        <v>6</v>
      </c>
      <c r="K72">
        <v>2</v>
      </c>
      <c r="L72">
        <v>0</v>
      </c>
      <c r="M72">
        <f t="shared" si="2"/>
        <v>2</v>
      </c>
      <c r="N72">
        <f t="shared" si="3"/>
        <v>2</v>
      </c>
      <c r="O72" t="s">
        <v>1273</v>
      </c>
      <c r="P72" t="s">
        <v>1168</v>
      </c>
      <c r="Q72" t="str">
        <f>HYPERLINK(".\links\NR-LIGHT\TI-123-NR-LIGHT.txt","NR-LIGHT")</f>
        <v>NR-LIGHT</v>
      </c>
      <c r="R72" s="3">
        <v>4.9999999999999996E-41</v>
      </c>
      <c r="S72">
        <v>25.8</v>
      </c>
      <c r="T72" t="str">
        <f>HYPERLINK(".\links\NR-LIGHT\TI-123-NR-LIGHT.txt","alpha-glucosidase binding-toxin receptor")</f>
        <v>alpha-glucosidase binding-toxin receptor</v>
      </c>
      <c r="U72" t="str">
        <f>HYPERLINK("http://www.ncbi.nlm.nih.gov/sutils/blink.cgi?pid=159792926","5E-039")</f>
        <v>5E-039</v>
      </c>
      <c r="V72" t="str">
        <f>HYPERLINK("http://www.ncbi.nlm.nih.gov/protein/159792926","gi|159792926")</f>
        <v>gi|159792926</v>
      </c>
      <c r="W72">
        <v>161</v>
      </c>
      <c r="X72">
        <v>150</v>
      </c>
      <c r="Y72">
        <v>588</v>
      </c>
      <c r="Z72">
        <v>48</v>
      </c>
      <c r="AA72">
        <v>26</v>
      </c>
      <c r="AB72">
        <v>79</v>
      </c>
      <c r="AC72">
        <v>2</v>
      </c>
      <c r="AD72">
        <v>59</v>
      </c>
      <c r="AE72">
        <v>1</v>
      </c>
      <c r="AF72">
        <v>1</v>
      </c>
      <c r="AG72"/>
      <c r="AH72" t="s">
        <v>13</v>
      </c>
      <c r="AI72" t="s">
        <v>51</v>
      </c>
      <c r="AJ72" t="s">
        <v>110</v>
      </c>
      <c r="AK72" t="str">
        <f>HYPERLINK(".\links\SWISSP\TI-123-SWISSP.txt","Maltase 2 OS=Drosophila virilis GN=Mav2 PE=3 SV=1")</f>
        <v>Maltase 2 OS=Drosophila virilis GN=Mav2 PE=3 SV=1</v>
      </c>
      <c r="AL72" t="str">
        <f>HYPERLINK("http://www.uniprot.org/uniprot/O16099","2E-034")</f>
        <v>2E-034</v>
      </c>
      <c r="AM72" t="s">
        <v>140</v>
      </c>
      <c r="AN72">
        <v>144</v>
      </c>
      <c r="AO72">
        <v>149</v>
      </c>
      <c r="AP72">
        <v>524</v>
      </c>
      <c r="AQ72">
        <v>46</v>
      </c>
      <c r="AR72">
        <v>29</v>
      </c>
      <c r="AS72">
        <v>81</v>
      </c>
      <c r="AT72">
        <v>3</v>
      </c>
      <c r="AU72">
        <v>67</v>
      </c>
      <c r="AV72">
        <v>1</v>
      </c>
      <c r="AW72">
        <v>1</v>
      </c>
      <c r="AX72" t="s">
        <v>60</v>
      </c>
      <c r="AY72" t="str">
        <f>HYPERLINK(".\links\PREV-RHOD-PEP\TI-123-PREV-RHOD-PEP.txt","Contig17590_30")</f>
        <v>Contig17590_30</v>
      </c>
      <c r="AZ72" s="3">
        <v>4.9999999999999999E-67</v>
      </c>
      <c r="BA72" t="s">
        <v>1029</v>
      </c>
      <c r="BB72">
        <v>249</v>
      </c>
      <c r="BC72">
        <v>153</v>
      </c>
      <c r="BD72">
        <v>599</v>
      </c>
      <c r="BE72">
        <v>76</v>
      </c>
      <c r="BF72">
        <v>26</v>
      </c>
      <c r="BG72">
        <v>36</v>
      </c>
      <c r="BH72">
        <v>1</v>
      </c>
      <c r="BI72">
        <v>50</v>
      </c>
      <c r="BJ72">
        <v>1</v>
      </c>
      <c r="BK72">
        <v>1</v>
      </c>
      <c r="BL72" t="s">
        <v>536</v>
      </c>
      <c r="BM72">
        <f>HYPERLINK(".\links\GO\TI-123-GO.txt",1E-34)</f>
        <v>9.9999999999999993E-35</v>
      </c>
      <c r="BN72" t="s">
        <v>8</v>
      </c>
      <c r="BO72" t="s">
        <v>8</v>
      </c>
      <c r="BP72" t="s">
        <v>8</v>
      </c>
      <c r="BQ72" t="s">
        <v>8</v>
      </c>
      <c r="BR72" t="s">
        <v>8</v>
      </c>
      <c r="BS72" t="s">
        <v>407</v>
      </c>
      <c r="BT72" t="s">
        <v>323</v>
      </c>
      <c r="BU72" t="s">
        <v>334</v>
      </c>
      <c r="BV72" t="s">
        <v>408</v>
      </c>
      <c r="BW72" s="3">
        <v>1.0000000000000001E-30</v>
      </c>
      <c r="BX72" t="s">
        <v>8</v>
      </c>
      <c r="BY72" t="s">
        <v>8</v>
      </c>
      <c r="BZ72" t="s">
        <v>8</v>
      </c>
      <c r="CA72" t="s">
        <v>8</v>
      </c>
      <c r="CB72" t="s">
        <v>8</v>
      </c>
      <c r="CC72" t="s">
        <v>8</v>
      </c>
      <c r="CD72"/>
      <c r="CE72"/>
      <c r="CF72" t="s">
        <v>8</v>
      </c>
      <c r="CG72"/>
      <c r="CH72"/>
      <c r="CI72" t="s">
        <v>8</v>
      </c>
      <c r="CJ72"/>
      <c r="CK72" t="s">
        <v>8</v>
      </c>
      <c r="CL72"/>
      <c r="CM72" t="s">
        <v>8</v>
      </c>
      <c r="CN72"/>
      <c r="CO72" t="s">
        <v>8</v>
      </c>
      <c r="CP72"/>
      <c r="CQ72"/>
      <c r="CR72"/>
      <c r="CS72"/>
      <c r="CT72"/>
      <c r="CU72"/>
      <c r="CV72"/>
      <c r="CW72"/>
      <c r="CX72"/>
      <c r="CY72"/>
      <c r="CZ72"/>
      <c r="DA72"/>
      <c r="DB72"/>
      <c r="DC72" t="s">
        <v>8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:120" s="6" customFormat="1">
      <c r="A73" t="str">
        <f>HYPERLINK(".\links\pep\TI-124-pep.txt","TI-124")</f>
        <v>TI-124</v>
      </c>
      <c r="B73">
        <v>124</v>
      </c>
      <c r="C73" t="s">
        <v>11</v>
      </c>
      <c r="D73">
        <v>144</v>
      </c>
      <c r="E73">
        <v>0</v>
      </c>
      <c r="F73" t="str">
        <f>HYPERLINK(".\links\cds\TI-124-cds.txt","TI-124")</f>
        <v>TI-124</v>
      </c>
      <c r="G73">
        <v>435</v>
      </c>
      <c r="H73"/>
      <c r="I73" t="s">
        <v>8</v>
      </c>
      <c r="J73" t="s">
        <v>6</v>
      </c>
      <c r="K73">
        <v>1</v>
      </c>
      <c r="L73">
        <v>0</v>
      </c>
      <c r="M73">
        <f t="shared" si="2"/>
        <v>1</v>
      </c>
      <c r="N73">
        <f t="shared" si="3"/>
        <v>1</v>
      </c>
      <c r="O73" t="s">
        <v>1274</v>
      </c>
      <c r="P73" t="s">
        <v>1172</v>
      </c>
      <c r="Q73" t="str">
        <f>HYPERLINK(".\links\GO\TI-124-GO.txt","GO")</f>
        <v>GO</v>
      </c>
      <c r="R73" s="3">
        <v>9.9999999999999992E-72</v>
      </c>
      <c r="S73">
        <v>29</v>
      </c>
      <c r="T73" t="str">
        <f>HYPERLINK(".\links\NR-LIGHT\TI-124-NR-LIGHT.txt","Sec61 alpha 1 subunit")</f>
        <v>Sec61 alpha 1 subunit</v>
      </c>
      <c r="U73" t="str">
        <f>HYPERLINK("http://www.ncbi.nlm.nih.gov/sutils/blink.cgi?pid=187177323","5E-074")</f>
        <v>5E-074</v>
      </c>
      <c r="V73" t="str">
        <f>HYPERLINK("http://www.ncbi.nlm.nih.gov/protein/187177323","gi|187177323")</f>
        <v>gi|187177323</v>
      </c>
      <c r="W73">
        <v>278</v>
      </c>
      <c r="X73">
        <v>138</v>
      </c>
      <c r="Y73">
        <v>476</v>
      </c>
      <c r="Z73">
        <v>95</v>
      </c>
      <c r="AA73">
        <v>29</v>
      </c>
      <c r="AB73">
        <v>6</v>
      </c>
      <c r="AC73">
        <v>0</v>
      </c>
      <c r="AD73">
        <v>338</v>
      </c>
      <c r="AE73">
        <v>6</v>
      </c>
      <c r="AF73">
        <v>1</v>
      </c>
      <c r="AG73"/>
      <c r="AH73" t="s">
        <v>13</v>
      </c>
      <c r="AI73" t="s">
        <v>51</v>
      </c>
      <c r="AJ73" t="s">
        <v>264</v>
      </c>
      <c r="AK73" t="str">
        <f>HYPERLINK(".\links\SWISSP\TI-124-SWISSP.txt","Protein transport protein Sec61 subunit alpha isoform 2 OS=Pongo abelii")</f>
        <v>Protein transport protein Sec61 subunit alpha isoform 2 OS=Pongo abelii</v>
      </c>
      <c r="AL73" t="str">
        <f>HYPERLINK("http://www.uniprot.org/uniprot/Q5NVM7","8E-070")</f>
        <v>8E-070</v>
      </c>
      <c r="AM73" t="s">
        <v>141</v>
      </c>
      <c r="AN73">
        <v>261</v>
      </c>
      <c r="AO73">
        <v>138</v>
      </c>
      <c r="AP73">
        <v>476</v>
      </c>
      <c r="AQ73">
        <v>88</v>
      </c>
      <c r="AR73">
        <v>29</v>
      </c>
      <c r="AS73">
        <v>16</v>
      </c>
      <c r="AT73">
        <v>0</v>
      </c>
      <c r="AU73">
        <v>338</v>
      </c>
      <c r="AV73">
        <v>6</v>
      </c>
      <c r="AW73">
        <v>1</v>
      </c>
      <c r="AX73" t="s">
        <v>121</v>
      </c>
      <c r="AY73" t="str">
        <f>HYPERLINK(".\links\PREV-RHOD-PEP\TI-124-PREV-RHOD-PEP.txt","Contig17893_55")</f>
        <v>Contig17893_55</v>
      </c>
      <c r="AZ73" s="3">
        <v>1.9999999999999999E-77</v>
      </c>
      <c r="BA73" t="s">
        <v>1056</v>
      </c>
      <c r="BB73">
        <v>283</v>
      </c>
      <c r="BC73">
        <v>138</v>
      </c>
      <c r="BD73">
        <v>476</v>
      </c>
      <c r="BE73">
        <v>98</v>
      </c>
      <c r="BF73">
        <v>29</v>
      </c>
      <c r="BG73">
        <v>2</v>
      </c>
      <c r="BH73">
        <v>0</v>
      </c>
      <c r="BI73">
        <v>338</v>
      </c>
      <c r="BJ73">
        <v>6</v>
      </c>
      <c r="BK73">
        <v>1</v>
      </c>
      <c r="BL73" t="s">
        <v>620</v>
      </c>
      <c r="BM73">
        <f>HYPERLINK(".\links\GO\TI-124-GO.txt",1E-71)</f>
        <v>9.9999999999999992E-72</v>
      </c>
      <c r="BN73" t="s">
        <v>621</v>
      </c>
      <c r="BO73" t="s">
        <v>319</v>
      </c>
      <c r="BP73" t="s">
        <v>320</v>
      </c>
      <c r="BQ73" t="s">
        <v>622</v>
      </c>
      <c r="BR73" s="3">
        <v>9.9999999999999992E-72</v>
      </c>
      <c r="BS73" t="s">
        <v>623</v>
      </c>
      <c r="BT73" t="s">
        <v>477</v>
      </c>
      <c r="BU73" t="s">
        <v>477</v>
      </c>
      <c r="BV73" t="s">
        <v>624</v>
      </c>
      <c r="BW73" s="3">
        <v>9.9999999999999992E-72</v>
      </c>
      <c r="BX73" t="s">
        <v>625</v>
      </c>
      <c r="BY73" t="s">
        <v>319</v>
      </c>
      <c r="BZ73" t="s">
        <v>320</v>
      </c>
      <c r="CA73" t="s">
        <v>626</v>
      </c>
      <c r="CB73" s="3">
        <v>9.9999999999999992E-72</v>
      </c>
      <c r="CC73" t="s">
        <v>8</v>
      </c>
      <c r="CD73"/>
      <c r="CE73"/>
      <c r="CF73" t="s">
        <v>8</v>
      </c>
      <c r="CG73"/>
      <c r="CH73"/>
      <c r="CI73" t="s">
        <v>8</v>
      </c>
      <c r="CJ73"/>
      <c r="CK73" t="s">
        <v>8</v>
      </c>
      <c r="CL73"/>
      <c r="CM73" t="s">
        <v>8</v>
      </c>
      <c r="CN73"/>
      <c r="CO73" t="s">
        <v>8</v>
      </c>
      <c r="CP73"/>
      <c r="CQ73"/>
      <c r="CR73"/>
      <c r="CS73"/>
      <c r="CT73"/>
      <c r="CU73"/>
      <c r="CV73"/>
      <c r="CW73"/>
      <c r="CX73"/>
      <c r="CY73"/>
      <c r="CZ73"/>
      <c r="DA73"/>
      <c r="DB73"/>
      <c r="DC73" t="s">
        <v>8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:120" s="6" customFormat="1">
      <c r="A74" t="str">
        <f>HYPERLINK(".\links\pep\TI-125-pep.txt","TI-125")</f>
        <v>TI-125</v>
      </c>
      <c r="B74">
        <v>125</v>
      </c>
      <c r="C74" t="s">
        <v>16</v>
      </c>
      <c r="D74">
        <v>222</v>
      </c>
      <c r="E74" s="2">
        <v>3.1531530000000001</v>
      </c>
      <c r="F74" t="str">
        <f>HYPERLINK(".\links\cds\TI-125-cds.txt","TI-125")</f>
        <v>TI-125</v>
      </c>
      <c r="G74">
        <v>669</v>
      </c>
      <c r="H74"/>
      <c r="I74" t="s">
        <v>8</v>
      </c>
      <c r="J74" t="s">
        <v>6</v>
      </c>
      <c r="K74">
        <v>0</v>
      </c>
      <c r="L74">
        <v>1</v>
      </c>
      <c r="M74">
        <f t="shared" si="2"/>
        <v>-1</v>
      </c>
      <c r="N74">
        <f t="shared" si="3"/>
        <v>1</v>
      </c>
      <c r="O74" t="s">
        <v>1275</v>
      </c>
      <c r="P74" t="s">
        <v>1187</v>
      </c>
      <c r="Q74" t="str">
        <f>HYPERLINK(".\links\GO\TI-125-GO.txt","GO")</f>
        <v>GO</v>
      </c>
      <c r="R74" s="3">
        <v>9.0000000000000002E-25</v>
      </c>
      <c r="S74">
        <v>69.099999999999994</v>
      </c>
      <c r="T74" t="str">
        <f>HYPERLINK(".\links\NR-LIGHT\TI-125-NR-LIGHT.txt","15-hydroxyprostaglandin dehydrogenase")</f>
        <v>15-hydroxyprostaglandin dehydrogenase</v>
      </c>
      <c r="U74" t="str">
        <f>HYPERLINK("http://www.ncbi.nlm.nih.gov/sutils/blink.cgi?pid=328779312","1E-032")</f>
        <v>1E-032</v>
      </c>
      <c r="V74" t="str">
        <f>HYPERLINK("http://www.ncbi.nlm.nih.gov/protein/328779312","gi|328779312")</f>
        <v>gi|328779312</v>
      </c>
      <c r="W74">
        <v>141</v>
      </c>
      <c r="X74">
        <v>178</v>
      </c>
      <c r="Y74">
        <v>272</v>
      </c>
      <c r="Z74">
        <v>39</v>
      </c>
      <c r="AA74">
        <v>66</v>
      </c>
      <c r="AB74">
        <v>110</v>
      </c>
      <c r="AC74">
        <v>4</v>
      </c>
      <c r="AD74">
        <v>45</v>
      </c>
      <c r="AE74">
        <v>23</v>
      </c>
      <c r="AF74">
        <v>1</v>
      </c>
      <c r="AG74"/>
      <c r="AH74" t="s">
        <v>13</v>
      </c>
      <c r="AI74" t="s">
        <v>51</v>
      </c>
      <c r="AJ74" t="s">
        <v>83</v>
      </c>
      <c r="AK74" t="str">
        <f>HYPERLINK(".\links\SWISSP\TI-125-SWISSP.txt","15-hydroxyprostaglandin dehydrogenase")</f>
        <v>15-hydroxyprostaglandin dehydrogenase</v>
      </c>
      <c r="AL74" t="str">
        <f>HYPERLINK("http://www.uniprot.org/uniprot/Q8VCC1","3E-030")</f>
        <v>3E-030</v>
      </c>
      <c r="AM74" t="s">
        <v>86</v>
      </c>
      <c r="AN74">
        <v>131</v>
      </c>
      <c r="AO74">
        <v>168</v>
      </c>
      <c r="AP74">
        <v>269</v>
      </c>
      <c r="AQ74">
        <v>36</v>
      </c>
      <c r="AR74">
        <v>63</v>
      </c>
      <c r="AS74">
        <v>108</v>
      </c>
      <c r="AT74">
        <v>2</v>
      </c>
      <c r="AU74">
        <v>28</v>
      </c>
      <c r="AV74">
        <v>23</v>
      </c>
      <c r="AW74">
        <v>1</v>
      </c>
      <c r="AX74" t="s">
        <v>87</v>
      </c>
      <c r="AY74" t="str">
        <f>HYPERLINK(".\links\PREV-RHOD-PEP\TI-125-PREV-RHOD-PEP.txt","Contig17866_7")</f>
        <v>Contig17866_7</v>
      </c>
      <c r="AZ74" s="3">
        <v>1.0000000000000001E-63</v>
      </c>
      <c r="BA74" t="s">
        <v>1008</v>
      </c>
      <c r="BB74">
        <v>238</v>
      </c>
      <c r="BC74">
        <v>183</v>
      </c>
      <c r="BD74">
        <v>259</v>
      </c>
      <c r="BE74">
        <v>63</v>
      </c>
      <c r="BF74">
        <v>71</v>
      </c>
      <c r="BG74">
        <v>67</v>
      </c>
      <c r="BH74">
        <v>3</v>
      </c>
      <c r="BI74">
        <v>33</v>
      </c>
      <c r="BJ74">
        <v>27</v>
      </c>
      <c r="BK74">
        <v>1</v>
      </c>
      <c r="BL74" t="s">
        <v>442</v>
      </c>
      <c r="BM74">
        <f>HYPERLINK(".\links\GO\TI-125-GO.txt",2E-31)</f>
        <v>2.0000000000000002E-31</v>
      </c>
      <c r="BN74" t="s">
        <v>443</v>
      </c>
      <c r="BO74" t="s">
        <v>444</v>
      </c>
      <c r="BP74" t="s">
        <v>445</v>
      </c>
      <c r="BQ74" t="s">
        <v>446</v>
      </c>
      <c r="BR74" s="3">
        <v>9.0000000000000002E-25</v>
      </c>
      <c r="BS74" t="s">
        <v>447</v>
      </c>
      <c r="BT74" t="s">
        <v>323</v>
      </c>
      <c r="BU74" t="s">
        <v>334</v>
      </c>
      <c r="BV74" t="s">
        <v>448</v>
      </c>
      <c r="BW74" s="3">
        <v>9.0000000000000002E-25</v>
      </c>
      <c r="BX74" t="s">
        <v>449</v>
      </c>
      <c r="BY74" t="s">
        <v>444</v>
      </c>
      <c r="BZ74" t="s">
        <v>445</v>
      </c>
      <c r="CA74" t="s">
        <v>450</v>
      </c>
      <c r="CB74" s="3">
        <v>9.0000000000000002E-25</v>
      </c>
      <c r="CC74" t="s">
        <v>8</v>
      </c>
      <c r="CD74"/>
      <c r="CE74"/>
      <c r="CF74" t="s">
        <v>8</v>
      </c>
      <c r="CG74"/>
      <c r="CH74"/>
      <c r="CI74" t="s">
        <v>8</v>
      </c>
      <c r="CJ74"/>
      <c r="CK74" t="s">
        <v>8</v>
      </c>
      <c r="CL74"/>
      <c r="CM74" t="s">
        <v>8</v>
      </c>
      <c r="CN74"/>
      <c r="CO74" t="s">
        <v>8</v>
      </c>
      <c r="CP74"/>
      <c r="CQ74"/>
      <c r="CR74"/>
      <c r="CS74"/>
      <c r="CT74"/>
      <c r="CU74"/>
      <c r="CV74"/>
      <c r="CW74"/>
      <c r="CX74"/>
      <c r="CY74"/>
      <c r="CZ74"/>
      <c r="DA74"/>
      <c r="DB74"/>
      <c r="DC74" t="s">
        <v>8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:120" s="6" customFormat="1">
      <c r="A75" t="str">
        <f>HYPERLINK(".\links\pep\TI-126-pep.txt","TI-126")</f>
        <v>TI-126</v>
      </c>
      <c r="B75">
        <v>126</v>
      </c>
      <c r="C75" t="s">
        <v>10</v>
      </c>
      <c r="D75">
        <v>265</v>
      </c>
      <c r="E75">
        <v>0</v>
      </c>
      <c r="F75" t="str">
        <f>HYPERLINK(".\links\cds\TI-126-cds.txt","TI-126")</f>
        <v>TI-126</v>
      </c>
      <c r="G75">
        <v>794</v>
      </c>
      <c r="H75"/>
      <c r="I75" t="s">
        <v>8</v>
      </c>
      <c r="J75" t="s">
        <v>8</v>
      </c>
      <c r="K75">
        <v>2</v>
      </c>
      <c r="L75">
        <v>4</v>
      </c>
      <c r="M75">
        <f t="shared" si="2"/>
        <v>-2</v>
      </c>
      <c r="N75">
        <f t="shared" si="3"/>
        <v>2</v>
      </c>
      <c r="O75" t="s">
        <v>1276</v>
      </c>
      <c r="P75" t="s">
        <v>1185</v>
      </c>
      <c r="Q75" t="str">
        <f>HYPERLINK(".\links\GO\TI-126-GO.txt","GO")</f>
        <v>GO</v>
      </c>
      <c r="R75" s="3">
        <v>1.9999999999999999E-47</v>
      </c>
      <c r="S75">
        <v>69.7</v>
      </c>
      <c r="T75" t="str">
        <f>HYPERLINK(".\links\NR-LIGHT\TI-126-NR-LIGHT.txt","NADH dehydrogenase subunit I")</f>
        <v>NADH dehydrogenase subunit I</v>
      </c>
      <c r="U75" t="str">
        <f>HYPERLINK("http://www.ncbi.nlm.nih.gov/sutils/blink.cgi?pid=291621807","1E-126")</f>
        <v>1E-126</v>
      </c>
      <c r="V75" t="str">
        <f>HYPERLINK("http://www.ncbi.nlm.nih.gov/protein/291621807","gi|291621807")</f>
        <v>gi|291621807</v>
      </c>
      <c r="W75">
        <v>454</v>
      </c>
      <c r="X75">
        <v>260</v>
      </c>
      <c r="Y75">
        <v>303</v>
      </c>
      <c r="Z75">
        <v>89</v>
      </c>
      <c r="AA75">
        <v>86</v>
      </c>
      <c r="AB75">
        <v>28</v>
      </c>
      <c r="AC75">
        <v>0</v>
      </c>
      <c r="AD75">
        <v>1</v>
      </c>
      <c r="AE75">
        <v>2</v>
      </c>
      <c r="AF75">
        <v>1</v>
      </c>
      <c r="AG75"/>
      <c r="AH75" t="s">
        <v>13</v>
      </c>
      <c r="AI75" t="s">
        <v>51</v>
      </c>
      <c r="AJ75" t="s">
        <v>273</v>
      </c>
      <c r="AK75" t="str">
        <f>HYPERLINK(".\links\SWISSP\TI-126-SWISSP.txt","NADH-ubiquinone oxidoreductase chain 1 OS=Anopheles quadrimaculatus GN=ND1 PE=3")</f>
        <v>NADH-ubiquinone oxidoreductase chain 1 OS=Anopheles quadrimaculatus GN=ND1 PE=3</v>
      </c>
      <c r="AL75" t="str">
        <f>HYPERLINK("http://www.uniprot.org/uniprot/P33502","5E-089")</f>
        <v>5E-089</v>
      </c>
      <c r="AM75" t="s">
        <v>142</v>
      </c>
      <c r="AN75">
        <v>327</v>
      </c>
      <c r="AO75">
        <v>260</v>
      </c>
      <c r="AP75">
        <v>314</v>
      </c>
      <c r="AQ75">
        <v>61</v>
      </c>
      <c r="AR75">
        <v>83</v>
      </c>
      <c r="AS75">
        <v>101</v>
      </c>
      <c r="AT75">
        <v>0</v>
      </c>
      <c r="AU75">
        <v>8</v>
      </c>
      <c r="AV75">
        <v>2</v>
      </c>
      <c r="AW75">
        <v>1</v>
      </c>
      <c r="AX75" t="s">
        <v>143</v>
      </c>
      <c r="AY75" t="str">
        <f>HYPERLINK(".\links\PREV-RHOD-PEP\TI-126-PREV-RHOD-PEP.txt","Contig22712_1")</f>
        <v>Contig22712_1</v>
      </c>
      <c r="AZ75" s="3">
        <v>6E-11</v>
      </c>
      <c r="BA75" t="s">
        <v>1057</v>
      </c>
      <c r="BB75">
        <v>63.9</v>
      </c>
      <c r="BC75">
        <v>32</v>
      </c>
      <c r="BD75">
        <v>33</v>
      </c>
      <c r="BE75">
        <v>96</v>
      </c>
      <c r="BF75">
        <v>100</v>
      </c>
      <c r="BG75">
        <v>1</v>
      </c>
      <c r="BH75">
        <v>0</v>
      </c>
      <c r="BI75">
        <v>1</v>
      </c>
      <c r="BJ75">
        <v>110</v>
      </c>
      <c r="BK75">
        <v>1</v>
      </c>
      <c r="BL75" t="s">
        <v>627</v>
      </c>
      <c r="BM75">
        <f>HYPERLINK(".\links\GO\TI-126-GO.txt",4E-81)</f>
        <v>3.9999999999999998E-81</v>
      </c>
      <c r="BN75" t="s">
        <v>373</v>
      </c>
      <c r="BO75" t="s">
        <v>373</v>
      </c>
      <c r="BP75"/>
      <c r="BQ75" t="s">
        <v>374</v>
      </c>
      <c r="BR75" s="3">
        <v>6.0000000000000002E-54</v>
      </c>
      <c r="BS75" t="s">
        <v>608</v>
      </c>
      <c r="BT75" t="s">
        <v>323</v>
      </c>
      <c r="BU75" t="s">
        <v>334</v>
      </c>
      <c r="BV75" t="s">
        <v>609</v>
      </c>
      <c r="BW75" s="3">
        <v>6.0000000000000002E-54</v>
      </c>
      <c r="BX75" t="s">
        <v>628</v>
      </c>
      <c r="BY75" t="s">
        <v>373</v>
      </c>
      <c r="BZ75"/>
      <c r="CA75" t="s">
        <v>629</v>
      </c>
      <c r="CB75" s="3">
        <v>6.0000000000000002E-54</v>
      </c>
      <c r="CC75" t="s">
        <v>8</v>
      </c>
      <c r="CD75"/>
      <c r="CE75"/>
      <c r="CF75" t="s">
        <v>8</v>
      </c>
      <c r="CG75"/>
      <c r="CH75"/>
      <c r="CI75" t="s">
        <v>8</v>
      </c>
      <c r="CJ75"/>
      <c r="CK75" t="s">
        <v>8</v>
      </c>
      <c r="CL75"/>
      <c r="CM75" t="s">
        <v>8</v>
      </c>
      <c r="CN75"/>
      <c r="CO75" t="str">
        <f>HYPERLINK(".\links\MIT-PLA\TI-126-MIT-PLA.txt","Triatoma infestans clone TI-62 NADH dehydrogenase subunit 1 mRNA, complete cds;")</f>
        <v>Triatoma infestans clone TI-62 NADH dehydrogenase subunit 1 mRNA, complete cds;</v>
      </c>
      <c r="CP75" t="str">
        <f>HYPERLINK("http://www.ncbi.nlm.nih.gov/entrez/viewer.fcgi?db=nucleotide&amp;val=149898870","1E-116")</f>
        <v>1E-116</v>
      </c>
      <c r="CQ75" t="str">
        <f>HYPERLINK("http://www.ncbi.nlm.nih.gov/entrez/viewer.fcgi?db=nucleotide&amp;val=149898870","gi|149898870")</f>
        <v>gi|149898870</v>
      </c>
      <c r="CR75">
        <v>414</v>
      </c>
      <c r="CS75">
        <v>713</v>
      </c>
      <c r="CT75">
        <v>870</v>
      </c>
      <c r="CU75">
        <v>99</v>
      </c>
      <c r="CV75">
        <v>82</v>
      </c>
      <c r="CW75">
        <v>2</v>
      </c>
      <c r="CX75">
        <v>0</v>
      </c>
      <c r="CY75">
        <v>1</v>
      </c>
      <c r="CZ75">
        <v>4</v>
      </c>
      <c r="DA75">
        <v>3</v>
      </c>
      <c r="DB75" t="s">
        <v>51</v>
      </c>
      <c r="DC75" t="str">
        <f>HYPERLINK(".\links\RRNA\TI-126-RRNA.txt","Carpilius sp. SR20 mitochondrial 16S rRNA gene (partial), tRNA-Leu gene and")</f>
        <v>Carpilius sp. SR20 mitochondrial 16S rRNA gene (partial), tRNA-Leu gene and</v>
      </c>
      <c r="DD75" t="str">
        <f>HYPERLINK("http://www.ncbi.nlm.nih.gov/entrez/viewer.fcgi?db=nucleotide&amp;val=312827980","3E-012")</f>
        <v>3E-012</v>
      </c>
      <c r="DE75" t="str">
        <f>HYPERLINK("http://www.ncbi.nlm.nih.gov/entrez/viewer.fcgi?db=nucleotide&amp;val=312827980","gi|312827980")</f>
        <v>gi|312827980</v>
      </c>
      <c r="DF75">
        <v>71.900000000000006</v>
      </c>
      <c r="DG75">
        <v>71</v>
      </c>
      <c r="DH75">
        <v>1161</v>
      </c>
      <c r="DI75">
        <v>87</v>
      </c>
      <c r="DJ75">
        <v>6</v>
      </c>
      <c r="DK75">
        <v>9</v>
      </c>
      <c r="DL75">
        <v>0</v>
      </c>
      <c r="DM75">
        <v>827</v>
      </c>
      <c r="DN75">
        <v>80</v>
      </c>
      <c r="DO75">
        <v>1</v>
      </c>
      <c r="DP75" t="s">
        <v>51</v>
      </c>
    </row>
    <row r="76" spans="1:120" s="6" customFormat="1">
      <c r="A76" s="6" t="str">
        <f>HYPERLINK(".\links\pep\TI-127-pep.txt","TI-127")</f>
        <v>TI-127</v>
      </c>
      <c r="B76" s="6">
        <v>127</v>
      </c>
      <c r="C76" s="6" t="s">
        <v>21</v>
      </c>
      <c r="D76" s="6">
        <v>51</v>
      </c>
      <c r="E76" s="6">
        <v>0</v>
      </c>
      <c r="F76" s="6" t="str">
        <f>HYPERLINK(".\links\cds\TI-127-cds.txt","TI-127")</f>
        <v>TI-127</v>
      </c>
      <c r="G76" s="6">
        <v>156</v>
      </c>
      <c r="I76" s="6" t="s">
        <v>8</v>
      </c>
      <c r="J76" s="6" t="s">
        <v>6</v>
      </c>
      <c r="K76" s="6">
        <v>1</v>
      </c>
      <c r="L76" s="6">
        <v>1</v>
      </c>
      <c r="M76" s="6">
        <f t="shared" si="2"/>
        <v>0</v>
      </c>
      <c r="N76" s="6">
        <f t="shared" si="3"/>
        <v>0</v>
      </c>
      <c r="O76" s="6" t="s">
        <v>1170</v>
      </c>
      <c r="P76" s="6" t="s">
        <v>1171</v>
      </c>
      <c r="T76" s="6" t="s">
        <v>8</v>
      </c>
      <c r="AK76" s="6" t="s">
        <v>8</v>
      </c>
      <c r="AY76" s="6" t="s">
        <v>8</v>
      </c>
      <c r="BL76" s="6" t="s">
        <v>8</v>
      </c>
      <c r="CC76" s="6" t="s">
        <v>8</v>
      </c>
      <c r="CF76" s="6" t="s">
        <v>8</v>
      </c>
      <c r="CI76" s="6" t="s">
        <v>8</v>
      </c>
      <c r="CK76" s="6" t="s">
        <v>8</v>
      </c>
      <c r="CM76" s="6" t="s">
        <v>8</v>
      </c>
      <c r="CO76" s="6" t="s">
        <v>8</v>
      </c>
      <c r="DC76" s="6" t="s">
        <v>8</v>
      </c>
    </row>
    <row r="77" spans="1:120" s="6" customFormat="1">
      <c r="A77" t="str">
        <f>HYPERLINK(".\links\pep\TI-129-pep.txt","TI-129")</f>
        <v>TI-129</v>
      </c>
      <c r="B77">
        <v>129</v>
      </c>
      <c r="C77" t="s">
        <v>7</v>
      </c>
      <c r="D77">
        <v>209</v>
      </c>
      <c r="E77">
        <v>0</v>
      </c>
      <c r="F77" t="str">
        <f>HYPERLINK(".\links\cds\TI-129-cds.txt","TI-129")</f>
        <v>TI-129</v>
      </c>
      <c r="G77">
        <v>630</v>
      </c>
      <c r="H77"/>
      <c r="I77" t="s">
        <v>29</v>
      </c>
      <c r="J77" t="s">
        <v>6</v>
      </c>
      <c r="K77">
        <v>6</v>
      </c>
      <c r="L77">
        <v>1</v>
      </c>
      <c r="M77">
        <f t="shared" si="2"/>
        <v>5</v>
      </c>
      <c r="N77">
        <f t="shared" si="3"/>
        <v>5</v>
      </c>
      <c r="O77" t="s">
        <v>1277</v>
      </c>
      <c r="P77" t="s">
        <v>1188</v>
      </c>
      <c r="Q77" t="str">
        <f>HYPERLINK(".\links\NR-LIGHT\TI-129-NR-LIGHT.txt","NR-LIGHT")</f>
        <v>NR-LIGHT</v>
      </c>
      <c r="R77" s="3">
        <v>3E-52</v>
      </c>
      <c r="S77">
        <v>42.5</v>
      </c>
      <c r="T77" t="str">
        <f>HYPERLINK(".\links\NR-LIGHT\TI-129-NR-LIGHT.txt","similar to cytochrome P450 CYP6BK17")</f>
        <v>similar to cytochrome P450 CYP6BK17</v>
      </c>
      <c r="U77" t="str">
        <f>HYPERLINK("http://www.ncbi.nlm.nih.gov/sutils/blink.cgi?pid=91084707","3E-052")</f>
        <v>3E-052</v>
      </c>
      <c r="V77" t="str">
        <f>HYPERLINK("http://www.ncbi.nlm.nih.gov/protein/91084707","gi|91084707")</f>
        <v>gi|91084707</v>
      </c>
      <c r="W77">
        <v>206</v>
      </c>
      <c r="X77">
        <v>210</v>
      </c>
      <c r="Y77">
        <v>496</v>
      </c>
      <c r="Z77">
        <v>42</v>
      </c>
      <c r="AA77">
        <v>43</v>
      </c>
      <c r="AB77">
        <v>121</v>
      </c>
      <c r="AC77">
        <v>4</v>
      </c>
      <c r="AD77">
        <v>286</v>
      </c>
      <c r="AE77">
        <v>1</v>
      </c>
      <c r="AF77">
        <v>1</v>
      </c>
      <c r="AG77"/>
      <c r="AH77" t="s">
        <v>13</v>
      </c>
      <c r="AI77" t="s">
        <v>51</v>
      </c>
      <c r="AJ77" t="s">
        <v>266</v>
      </c>
      <c r="AK77" t="str">
        <f>HYPERLINK(".\links\SWISSP\TI-129-SWISSP.txt","Probable cytochrome P450 6a14 OS=Drosophila melanogaster GN=Cyp6a14 PE=3 SV=2")</f>
        <v>Probable cytochrome P450 6a14 OS=Drosophila melanogaster GN=Cyp6a14 PE=3 SV=2</v>
      </c>
      <c r="AL77" t="str">
        <f>HYPERLINK("http://www.uniprot.org/uniprot/Q9V4U7","2E-049")</f>
        <v>2E-049</v>
      </c>
      <c r="AM77" t="s">
        <v>144</v>
      </c>
      <c r="AN77">
        <v>195</v>
      </c>
      <c r="AO77">
        <v>211</v>
      </c>
      <c r="AP77">
        <v>509</v>
      </c>
      <c r="AQ77">
        <v>44</v>
      </c>
      <c r="AR77">
        <v>42</v>
      </c>
      <c r="AS77">
        <v>117</v>
      </c>
      <c r="AT77">
        <v>5</v>
      </c>
      <c r="AU77">
        <v>298</v>
      </c>
      <c r="AV77">
        <v>1</v>
      </c>
      <c r="AW77">
        <v>1</v>
      </c>
      <c r="AX77" t="s">
        <v>52</v>
      </c>
      <c r="AY77" t="str">
        <f>HYPERLINK(".\links\PREV-RHOD-PEP\TI-129-PREV-RHOD-PEP.txt","Contig1437_2")</f>
        <v>Contig1437_2</v>
      </c>
      <c r="AZ77" s="3">
        <v>1.9999999999999999E-98</v>
      </c>
      <c r="BA77" t="s">
        <v>1058</v>
      </c>
      <c r="BB77">
        <v>353</v>
      </c>
      <c r="BC77">
        <v>720</v>
      </c>
      <c r="BD77">
        <v>826</v>
      </c>
      <c r="BE77">
        <v>79</v>
      </c>
      <c r="BF77">
        <v>87</v>
      </c>
      <c r="BG77">
        <v>43</v>
      </c>
      <c r="BH77">
        <v>0</v>
      </c>
      <c r="BI77">
        <v>102</v>
      </c>
      <c r="BJ77">
        <v>1</v>
      </c>
      <c r="BK77">
        <v>2</v>
      </c>
      <c r="BL77" t="s">
        <v>630</v>
      </c>
      <c r="BM77">
        <f>HYPERLINK(".\links\GO\TI-129-GO.txt",6E-50)</f>
        <v>5.9999999999999998E-50</v>
      </c>
      <c r="BN77" t="s">
        <v>581</v>
      </c>
      <c r="BO77" t="s">
        <v>581</v>
      </c>
      <c r="BP77"/>
      <c r="BQ77" t="s">
        <v>582</v>
      </c>
      <c r="BR77" s="3">
        <v>2.9999999999999999E-46</v>
      </c>
      <c r="BS77" t="s">
        <v>452</v>
      </c>
      <c r="BT77" t="s">
        <v>323</v>
      </c>
      <c r="BU77" t="s">
        <v>390</v>
      </c>
      <c r="BV77" t="s">
        <v>453</v>
      </c>
      <c r="BW77" s="3">
        <v>2.9999999999999999E-46</v>
      </c>
      <c r="BX77" t="s">
        <v>631</v>
      </c>
      <c r="BY77" t="s">
        <v>581</v>
      </c>
      <c r="BZ77"/>
      <c r="CA77" t="s">
        <v>632</v>
      </c>
      <c r="CB77" s="3">
        <v>2.9999999999999999E-46</v>
      </c>
      <c r="CC77" t="s">
        <v>8</v>
      </c>
      <c r="CD77"/>
      <c r="CE77"/>
      <c r="CF77" t="s">
        <v>8</v>
      </c>
      <c r="CG77"/>
      <c r="CH77"/>
      <c r="CI77" t="s">
        <v>8</v>
      </c>
      <c r="CJ77"/>
      <c r="CK77" t="s">
        <v>8</v>
      </c>
      <c r="CL77"/>
      <c r="CM77" t="s">
        <v>8</v>
      </c>
      <c r="CN77"/>
      <c r="CO77" t="s">
        <v>8</v>
      </c>
      <c r="CP77"/>
      <c r="CQ77"/>
      <c r="CR77"/>
      <c r="CS77"/>
      <c r="CT77"/>
      <c r="CU77"/>
      <c r="CV77"/>
      <c r="CW77"/>
      <c r="CX77"/>
      <c r="CY77"/>
      <c r="CZ77"/>
      <c r="DA77"/>
      <c r="DB77"/>
      <c r="DC77" t="s">
        <v>8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:120" s="6" customFormat="1">
      <c r="A78" s="6" t="str">
        <f>HYPERLINK(".\links\pep\TI-132-pep.txt","TI-132")</f>
        <v>TI-132</v>
      </c>
      <c r="B78" s="6">
        <v>132</v>
      </c>
      <c r="C78" s="6" t="s">
        <v>22</v>
      </c>
      <c r="D78" s="6">
        <v>48</v>
      </c>
      <c r="E78" s="6">
        <v>0</v>
      </c>
      <c r="F78" s="6" t="str">
        <f>HYPERLINK(".\links\cds\TI-132-cds.txt","TI-132")</f>
        <v>TI-132</v>
      </c>
      <c r="G78" s="6">
        <v>147</v>
      </c>
      <c r="I78" s="6" t="s">
        <v>8</v>
      </c>
      <c r="J78" s="6" t="s">
        <v>6</v>
      </c>
      <c r="K78" s="6">
        <v>0</v>
      </c>
      <c r="L78" s="6">
        <v>1</v>
      </c>
      <c r="M78" s="6">
        <f t="shared" si="2"/>
        <v>-1</v>
      </c>
      <c r="N78" s="6">
        <f t="shared" si="3"/>
        <v>1</v>
      </c>
      <c r="O78" s="6" t="s">
        <v>1170</v>
      </c>
      <c r="P78" s="6" t="s">
        <v>1171</v>
      </c>
      <c r="T78" s="6" t="s">
        <v>8</v>
      </c>
      <c r="AK78" s="6" t="s">
        <v>8</v>
      </c>
      <c r="AY78" s="6" t="s">
        <v>8</v>
      </c>
      <c r="BL78" s="6" t="s">
        <v>8</v>
      </c>
      <c r="CC78" s="6" t="s">
        <v>8</v>
      </c>
      <c r="CF78" s="6" t="s">
        <v>8</v>
      </c>
      <c r="CI78" s="6" t="s">
        <v>8</v>
      </c>
      <c r="CK78" s="6" t="s">
        <v>8</v>
      </c>
      <c r="CM78" s="6" t="s">
        <v>8</v>
      </c>
      <c r="CO78" s="6" t="s">
        <v>8</v>
      </c>
      <c r="DC78" s="6" t="s">
        <v>8</v>
      </c>
    </row>
    <row r="79" spans="1:120" s="6" customFormat="1">
      <c r="A79" t="str">
        <f>HYPERLINK(".\links\pep\TI-139-pep.txt","TI-139")</f>
        <v>TI-139</v>
      </c>
      <c r="B79">
        <v>139</v>
      </c>
      <c r="C79" t="s">
        <v>7</v>
      </c>
      <c r="D79">
        <v>233</v>
      </c>
      <c r="E79">
        <v>0</v>
      </c>
      <c r="F79" t="str">
        <f>HYPERLINK(".\links\cds\TI-139-cds.txt","TI-139")</f>
        <v>TI-139</v>
      </c>
      <c r="G79">
        <v>698</v>
      </c>
      <c r="H79"/>
      <c r="I79" t="s">
        <v>29</v>
      </c>
      <c r="J79" t="s">
        <v>6</v>
      </c>
      <c r="K79">
        <v>1</v>
      </c>
      <c r="L79">
        <v>0</v>
      </c>
      <c r="M79">
        <f t="shared" si="2"/>
        <v>1</v>
      </c>
      <c r="N79">
        <f t="shared" si="3"/>
        <v>1</v>
      </c>
      <c r="O79" t="s">
        <v>1278</v>
      </c>
      <c r="P79" t="s">
        <v>1169</v>
      </c>
      <c r="Q79" t="str">
        <f>HYPERLINK(".\links\NR-LIGHT\TI-139-NR-LIGHT.txt","NR-LIGHT")</f>
        <v>NR-LIGHT</v>
      </c>
      <c r="R79" s="3">
        <v>1E-91</v>
      </c>
      <c r="S79">
        <v>72</v>
      </c>
      <c r="T79" t="str">
        <f>HYPERLINK(".\links\NR-LIGHT\TI-139-NR-LIGHT.txt","eukaryotic translation initiation factor 3 subunit I-like")</f>
        <v>eukaryotic translation initiation factor 3 subunit I-like</v>
      </c>
      <c r="U79" t="str">
        <f>HYPERLINK("http://www.ncbi.nlm.nih.gov/sutils/blink.cgi?pid=193599156","1E-091")</f>
        <v>1E-091</v>
      </c>
      <c r="V79" t="str">
        <f>HYPERLINK("http://www.ncbi.nlm.nih.gov/protein/193599156","gi|193599156")</f>
        <v>gi|193599156</v>
      </c>
      <c r="W79">
        <v>337</v>
      </c>
      <c r="X79">
        <v>233</v>
      </c>
      <c r="Y79">
        <v>325</v>
      </c>
      <c r="Z79">
        <v>66</v>
      </c>
      <c r="AA79">
        <v>72</v>
      </c>
      <c r="AB79">
        <v>79</v>
      </c>
      <c r="AC79">
        <v>1</v>
      </c>
      <c r="AD79">
        <v>1</v>
      </c>
      <c r="AE79">
        <v>1</v>
      </c>
      <c r="AF79">
        <v>1</v>
      </c>
      <c r="AG79"/>
      <c r="AH79" t="s">
        <v>13</v>
      </c>
      <c r="AI79" t="s">
        <v>51</v>
      </c>
      <c r="AJ79" t="s">
        <v>264</v>
      </c>
      <c r="AK79" t="str">
        <f>HYPERLINK(".\links\SWISSP\TI-139-SWISSP.txt","Eukaryotic translation initiation factor 3 subunit I OS=Drosophila grimshawi")</f>
        <v>Eukaryotic translation initiation factor 3 subunit I OS=Drosophila grimshawi</v>
      </c>
      <c r="AL79" t="str">
        <f>HYPERLINK("http://www.uniprot.org/uniprot/B4JB43","9E-083")</f>
        <v>9E-083</v>
      </c>
      <c r="AM79" t="s">
        <v>145</v>
      </c>
      <c r="AN79">
        <v>306</v>
      </c>
      <c r="AO79">
        <v>235</v>
      </c>
      <c r="AP79">
        <v>326</v>
      </c>
      <c r="AQ79">
        <v>63</v>
      </c>
      <c r="AR79">
        <v>72</v>
      </c>
      <c r="AS79">
        <v>87</v>
      </c>
      <c r="AT79">
        <v>3</v>
      </c>
      <c r="AU79">
        <v>1</v>
      </c>
      <c r="AV79">
        <v>1</v>
      </c>
      <c r="AW79">
        <v>1</v>
      </c>
      <c r="AX79" t="s">
        <v>146</v>
      </c>
      <c r="AY79" t="str">
        <f>HYPERLINK(".\links\PREV-RHOD-PEP\TI-139-PREV-RHOD-PEP.txt","Contig17970_698")</f>
        <v>Contig17970_698</v>
      </c>
      <c r="AZ79" s="3">
        <v>9.9999999999999998E-138</v>
      </c>
      <c r="BA79" t="s">
        <v>1059</v>
      </c>
      <c r="BB79">
        <v>482</v>
      </c>
      <c r="BC79">
        <v>232</v>
      </c>
      <c r="BD79">
        <v>324</v>
      </c>
      <c r="BE79">
        <v>96</v>
      </c>
      <c r="BF79">
        <v>72</v>
      </c>
      <c r="BG79">
        <v>7</v>
      </c>
      <c r="BH79">
        <v>0</v>
      </c>
      <c r="BI79">
        <v>1</v>
      </c>
      <c r="BJ79">
        <v>1</v>
      </c>
      <c r="BK79">
        <v>1</v>
      </c>
      <c r="BL79" t="s">
        <v>633</v>
      </c>
      <c r="BM79">
        <f>HYPERLINK(".\links\GO\TI-139-GO.txt",2E-82)</f>
        <v>1.9999999999999999E-82</v>
      </c>
      <c r="BN79" t="s">
        <v>634</v>
      </c>
      <c r="BO79" t="s">
        <v>635</v>
      </c>
      <c r="BP79" t="s">
        <v>636</v>
      </c>
      <c r="BQ79" t="s">
        <v>637</v>
      </c>
      <c r="BR79" s="3">
        <v>1.9999999999999999E-82</v>
      </c>
      <c r="BS79" t="s">
        <v>638</v>
      </c>
      <c r="BT79" t="s">
        <v>323</v>
      </c>
      <c r="BU79" t="s">
        <v>334</v>
      </c>
      <c r="BV79" t="s">
        <v>639</v>
      </c>
      <c r="BW79" s="3">
        <v>1.9999999999999999E-82</v>
      </c>
      <c r="BX79" t="s">
        <v>336</v>
      </c>
      <c r="BY79" t="s">
        <v>635</v>
      </c>
      <c r="BZ79" t="s">
        <v>636</v>
      </c>
      <c r="CA79" t="s">
        <v>337</v>
      </c>
      <c r="CB79" s="3">
        <v>1.9999999999999999E-82</v>
      </c>
      <c r="CC79" t="s">
        <v>8</v>
      </c>
      <c r="CD79"/>
      <c r="CE79"/>
      <c r="CF79" t="s">
        <v>8</v>
      </c>
      <c r="CG79"/>
      <c r="CH79"/>
      <c r="CI79" t="s">
        <v>8</v>
      </c>
      <c r="CJ79"/>
      <c r="CK79" t="s">
        <v>8</v>
      </c>
      <c r="CL79"/>
      <c r="CM79" t="s">
        <v>8</v>
      </c>
      <c r="CN79"/>
      <c r="CO79" t="s">
        <v>8</v>
      </c>
      <c r="CP79"/>
      <c r="CQ79"/>
      <c r="CR79"/>
      <c r="CS79"/>
      <c r="CT79"/>
      <c r="CU79"/>
      <c r="CV79"/>
      <c r="CW79"/>
      <c r="CX79"/>
      <c r="CY79"/>
      <c r="CZ79"/>
      <c r="DA79"/>
      <c r="DB79"/>
      <c r="DC79" t="s">
        <v>8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:120" s="6" customFormat="1">
      <c r="A80" s="6" t="str">
        <f>HYPERLINK(".\links\pep\TI-140-pep.txt","TI-140")</f>
        <v>TI-140</v>
      </c>
      <c r="B80" s="6">
        <v>140</v>
      </c>
      <c r="C80" s="6" t="s">
        <v>12</v>
      </c>
      <c r="D80" s="6">
        <v>13</v>
      </c>
      <c r="E80" s="6">
        <v>0</v>
      </c>
      <c r="F80" s="6" t="str">
        <f>HYPERLINK(".\links\cds\TI-140-cds.txt","TI-140")</f>
        <v>TI-140</v>
      </c>
      <c r="G80" s="6">
        <v>42</v>
      </c>
      <c r="I80" s="6" t="s">
        <v>8</v>
      </c>
      <c r="J80" s="6" t="s">
        <v>6</v>
      </c>
      <c r="K80" s="6">
        <v>0</v>
      </c>
      <c r="L80" s="6">
        <v>1</v>
      </c>
      <c r="M80" s="6">
        <f t="shared" si="2"/>
        <v>-1</v>
      </c>
      <c r="N80" s="6">
        <f t="shared" si="3"/>
        <v>1</v>
      </c>
      <c r="O80" s="6" t="s">
        <v>1170</v>
      </c>
      <c r="P80" s="6" t="s">
        <v>1171</v>
      </c>
      <c r="T80" s="6" t="s">
        <v>8</v>
      </c>
      <c r="AK80" s="6" t="s">
        <v>8</v>
      </c>
      <c r="AY80" s="6" t="s">
        <v>8</v>
      </c>
      <c r="BL80" s="6" t="s">
        <v>8</v>
      </c>
      <c r="CC80" s="6" t="s">
        <v>8</v>
      </c>
      <c r="CF80" s="6" t="s">
        <v>8</v>
      </c>
      <c r="CI80" s="6" t="s">
        <v>8</v>
      </c>
      <c r="CK80" s="6" t="s">
        <v>8</v>
      </c>
      <c r="CM80" s="6" t="s">
        <v>8</v>
      </c>
      <c r="CO80" s="6" t="s">
        <v>8</v>
      </c>
      <c r="DC80" s="6" t="s">
        <v>8</v>
      </c>
    </row>
    <row r="81" spans="1:120" s="6" customFormat="1">
      <c r="A81" t="str">
        <f>HYPERLINK(".\links\pep\TI-141-pep.txt","TI-141")</f>
        <v>TI-141</v>
      </c>
      <c r="B81">
        <v>141</v>
      </c>
      <c r="C81" t="s">
        <v>11</v>
      </c>
      <c r="D81">
        <v>71</v>
      </c>
      <c r="E81">
        <v>0</v>
      </c>
      <c r="F81" t="str">
        <f>HYPERLINK(".\links\cds\TI-141-cds.txt","TI-141")</f>
        <v>TI-141</v>
      </c>
      <c r="G81">
        <v>212</v>
      </c>
      <c r="H81"/>
      <c r="I81" t="s">
        <v>8</v>
      </c>
      <c r="J81" t="s">
        <v>8</v>
      </c>
      <c r="K81">
        <v>1</v>
      </c>
      <c r="L81">
        <v>0</v>
      </c>
      <c r="M81">
        <f t="shared" si="2"/>
        <v>1</v>
      </c>
      <c r="N81">
        <f t="shared" si="3"/>
        <v>1</v>
      </c>
      <c r="O81" t="s">
        <v>1279</v>
      </c>
      <c r="P81" t="s">
        <v>1178</v>
      </c>
      <c r="Q81" t="str">
        <f>HYPERLINK(".\links\NR-LIGHT\TI-141-NR-LIGHT.txt","NR-LIGHT")</f>
        <v>NR-LIGHT</v>
      </c>
      <c r="R81">
        <v>6E-11</v>
      </c>
      <c r="S81">
        <v>10.5</v>
      </c>
      <c r="T81" t="str">
        <f>HYPERLINK(".\links\NR-LIGHT\TI-141-NR-LIGHT.txt","scavenger mRNA decapping enzyme DcpS, putative")</f>
        <v>scavenger mRNA decapping enzyme DcpS, putative</v>
      </c>
      <c r="U81" t="str">
        <f>HYPERLINK("http://www.ncbi.nlm.nih.gov/sutils/blink.cgi?pid=242019462","6E-011")</f>
        <v>6E-011</v>
      </c>
      <c r="V81" t="str">
        <f>HYPERLINK("http://www.ncbi.nlm.nih.gov/protein/242019462","gi|242019462")</f>
        <v>gi|242019462</v>
      </c>
      <c r="W81">
        <v>68.599999999999994</v>
      </c>
      <c r="X81">
        <v>58</v>
      </c>
      <c r="Y81">
        <v>560</v>
      </c>
      <c r="Z81">
        <v>52</v>
      </c>
      <c r="AA81">
        <v>11</v>
      </c>
      <c r="AB81">
        <v>28</v>
      </c>
      <c r="AC81">
        <v>0</v>
      </c>
      <c r="AD81">
        <v>74</v>
      </c>
      <c r="AE81">
        <v>4</v>
      </c>
      <c r="AF81">
        <v>1</v>
      </c>
      <c r="AG81"/>
      <c r="AH81" t="s">
        <v>13</v>
      </c>
      <c r="AI81" t="s">
        <v>51</v>
      </c>
      <c r="AJ81" t="s">
        <v>268</v>
      </c>
      <c r="AK81" t="str">
        <f>HYPERLINK(".\links\SWISSP\TI-141-SWISSP.txt","Scavenger mRNA-decapping enzyme DcpS OS=Saccharomyces cerevisiae (strain ATCC")</f>
        <v>Scavenger mRNA-decapping enzyme DcpS OS=Saccharomyces cerevisiae (strain ATCC</v>
      </c>
      <c r="AL81" t="str">
        <f>HYPERLINK("http://www.uniprot.org/uniprot/Q06151","2E-006")</f>
        <v>2E-006</v>
      </c>
      <c r="AM81" t="s">
        <v>147</v>
      </c>
      <c r="AN81">
        <v>51.2</v>
      </c>
      <c r="AO81">
        <v>41</v>
      </c>
      <c r="AP81">
        <v>350</v>
      </c>
      <c r="AQ81">
        <v>47</v>
      </c>
      <c r="AR81">
        <v>12</v>
      </c>
      <c r="AS81">
        <v>22</v>
      </c>
      <c r="AT81">
        <v>0</v>
      </c>
      <c r="AU81">
        <v>109</v>
      </c>
      <c r="AV81">
        <v>7</v>
      </c>
      <c r="AW81">
        <v>1</v>
      </c>
      <c r="AX81" t="s">
        <v>148</v>
      </c>
      <c r="AY81" t="str">
        <f>HYPERLINK(".\links\PREV-RHOD-PEP\TI-141-PREV-RHOD-PEP.txt","Contig17819_68")</f>
        <v>Contig17819_68</v>
      </c>
      <c r="AZ81" s="3">
        <v>3.0000000000000003E-20</v>
      </c>
      <c r="BA81" t="s">
        <v>1060</v>
      </c>
      <c r="BB81">
        <v>93.2</v>
      </c>
      <c r="BC81">
        <v>54</v>
      </c>
      <c r="BD81">
        <v>730</v>
      </c>
      <c r="BE81">
        <v>81</v>
      </c>
      <c r="BF81">
        <v>8</v>
      </c>
      <c r="BG81">
        <v>10</v>
      </c>
      <c r="BH81">
        <v>0</v>
      </c>
      <c r="BI81">
        <v>134</v>
      </c>
      <c r="BJ81">
        <v>8</v>
      </c>
      <c r="BK81">
        <v>1</v>
      </c>
      <c r="BL81" t="s">
        <v>640</v>
      </c>
      <c r="BM81">
        <f>HYPERLINK(".\links\GO\TI-141-GO.txt",0.0000004)</f>
        <v>3.9999999999999998E-7</v>
      </c>
      <c r="BN81" t="s">
        <v>641</v>
      </c>
      <c r="BO81" t="s">
        <v>345</v>
      </c>
      <c r="BP81" t="s">
        <v>349</v>
      </c>
      <c r="BQ81" t="s">
        <v>642</v>
      </c>
      <c r="BR81">
        <v>3.9999999999999998E-7</v>
      </c>
      <c r="BS81" t="s">
        <v>643</v>
      </c>
      <c r="BT81" t="s">
        <v>323</v>
      </c>
      <c r="BU81" t="s">
        <v>334</v>
      </c>
      <c r="BV81" t="s">
        <v>644</v>
      </c>
      <c r="BW81">
        <v>3.9999999999999998E-7</v>
      </c>
      <c r="BX81" t="s">
        <v>645</v>
      </c>
      <c r="BY81" t="s">
        <v>345</v>
      </c>
      <c r="BZ81" t="s">
        <v>349</v>
      </c>
      <c r="CA81" t="s">
        <v>646</v>
      </c>
      <c r="CB81">
        <v>3.9999999999999998E-7</v>
      </c>
      <c r="CC81" t="s">
        <v>8</v>
      </c>
      <c r="CD81"/>
      <c r="CE81"/>
      <c r="CF81" t="s">
        <v>8</v>
      </c>
      <c r="CG81"/>
      <c r="CH81"/>
      <c r="CI81" t="s">
        <v>8</v>
      </c>
      <c r="CJ81"/>
      <c r="CK81" t="s">
        <v>8</v>
      </c>
      <c r="CL81"/>
      <c r="CM81" t="s">
        <v>8</v>
      </c>
      <c r="CN81"/>
      <c r="CO81" t="s">
        <v>8</v>
      </c>
      <c r="CP81"/>
      <c r="CQ81"/>
      <c r="CR81"/>
      <c r="CS81"/>
      <c r="CT81"/>
      <c r="CU81"/>
      <c r="CV81"/>
      <c r="CW81"/>
      <c r="CX81"/>
      <c r="CY81"/>
      <c r="CZ81"/>
      <c r="DA81"/>
      <c r="DB81"/>
      <c r="DC81" t="s">
        <v>8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1:120" s="6" customFormat="1">
      <c r="A82" s="6" t="str">
        <f>HYPERLINK(".\links\pep\TI-143-pep.txt","TI-143")</f>
        <v>TI-143</v>
      </c>
      <c r="B82" s="6">
        <v>143</v>
      </c>
      <c r="C82" s="6" t="s">
        <v>19</v>
      </c>
      <c r="D82" s="6">
        <v>104</v>
      </c>
      <c r="E82" s="6">
        <v>25</v>
      </c>
      <c r="F82" s="6" t="str">
        <f>HYPERLINK(".\links\cds\TI-143-cds.txt","TI-143")</f>
        <v>TI-143</v>
      </c>
      <c r="G82" s="6">
        <v>315</v>
      </c>
      <c r="I82" s="6" t="s">
        <v>8</v>
      </c>
      <c r="J82" s="6" t="s">
        <v>6</v>
      </c>
      <c r="K82" s="6">
        <v>0</v>
      </c>
      <c r="L82" s="6">
        <v>1</v>
      </c>
      <c r="M82" s="6">
        <f t="shared" ref="M82:M120" si="4">K82-L82</f>
        <v>-1</v>
      </c>
      <c r="N82" s="6">
        <f t="shared" ref="N82:N120" si="5">ABS(K82-L82)</f>
        <v>1</v>
      </c>
      <c r="O82" s="6" t="s">
        <v>1170</v>
      </c>
      <c r="P82" s="6" t="s">
        <v>1171</v>
      </c>
      <c r="T82" s="6" t="str">
        <f>HYPERLINK(".\links\NR-LIGHT\TI-143-NR-LIGHT.txt","hypothetical protein TcasGA2_TC010743")</f>
        <v>hypothetical protein TcasGA2_TC010743</v>
      </c>
      <c r="U82" s="6" t="str">
        <f>HYPERLINK("http://www.ncbi.nlm.nih.gov/sutils/blink.cgi?pid=270016597","0.078")</f>
        <v>0.078</v>
      </c>
      <c r="V82" s="6" t="str">
        <f>HYPERLINK("http://www.ncbi.nlm.nih.gov/protein/270016597","gi|270016597")</f>
        <v>gi|270016597</v>
      </c>
      <c r="W82" s="6">
        <v>38.1</v>
      </c>
      <c r="X82" s="6">
        <v>31</v>
      </c>
      <c r="Y82" s="6">
        <v>546</v>
      </c>
      <c r="Z82" s="6">
        <v>50</v>
      </c>
      <c r="AA82" s="6">
        <v>6</v>
      </c>
      <c r="AB82" s="6">
        <v>16</v>
      </c>
      <c r="AC82" s="6">
        <v>0</v>
      </c>
      <c r="AD82" s="6">
        <v>328</v>
      </c>
      <c r="AE82" s="6">
        <v>72</v>
      </c>
      <c r="AF82" s="6">
        <v>1</v>
      </c>
      <c r="AH82" s="6" t="s">
        <v>13</v>
      </c>
      <c r="AI82" s="6" t="s">
        <v>51</v>
      </c>
      <c r="AJ82" s="6" t="s">
        <v>266</v>
      </c>
      <c r="AK82" s="6" t="s">
        <v>8</v>
      </c>
      <c r="AY82" s="6" t="str">
        <f>HYPERLINK(".\links\PREV-RHOD-PEP\TI-143-PREV-RHOD-PEP.txt","Contig17738_16")</f>
        <v>Contig17738_16</v>
      </c>
      <c r="AZ82" s="8">
        <v>3.0000000000000001E-5</v>
      </c>
      <c r="BA82" s="6" t="s">
        <v>986</v>
      </c>
      <c r="BB82" s="6">
        <v>43.1</v>
      </c>
      <c r="BC82" s="6">
        <v>33</v>
      </c>
      <c r="BD82" s="6">
        <v>456</v>
      </c>
      <c r="BE82" s="6">
        <v>47</v>
      </c>
      <c r="BF82" s="6">
        <v>7</v>
      </c>
      <c r="BG82" s="6">
        <v>18</v>
      </c>
      <c r="BH82" s="6">
        <v>0</v>
      </c>
      <c r="BI82" s="6">
        <v>370</v>
      </c>
      <c r="BJ82" s="6">
        <v>71</v>
      </c>
      <c r="BK82" s="6">
        <v>1</v>
      </c>
      <c r="BL82" s="6" t="s">
        <v>8</v>
      </c>
      <c r="CC82" s="6" t="s">
        <v>8</v>
      </c>
      <c r="CF82" s="6" t="s">
        <v>8</v>
      </c>
      <c r="CI82" s="6" t="s">
        <v>8</v>
      </c>
      <c r="CK82" s="6" t="s">
        <v>8</v>
      </c>
      <c r="CM82" s="6" t="s">
        <v>8</v>
      </c>
      <c r="CO82" s="6" t="s">
        <v>8</v>
      </c>
      <c r="DC82" s="6" t="s">
        <v>8</v>
      </c>
    </row>
    <row r="83" spans="1:120" s="6" customFormat="1">
      <c r="A83" s="6" t="str">
        <f>HYPERLINK(".\links\pep\TI-144-pep.txt","TI-144")</f>
        <v>TI-144</v>
      </c>
      <c r="B83" s="6">
        <v>144</v>
      </c>
      <c r="C83" s="6" t="s">
        <v>12</v>
      </c>
      <c r="D83" s="6">
        <v>41</v>
      </c>
      <c r="E83" s="6">
        <v>0</v>
      </c>
      <c r="F83" s="6" t="str">
        <f>HYPERLINK(".\links\cds\TI-144-cds.txt","TI-144")</f>
        <v>TI-144</v>
      </c>
      <c r="G83" s="6">
        <v>126</v>
      </c>
      <c r="I83" s="6" t="s">
        <v>8</v>
      </c>
      <c r="J83" s="6" t="s">
        <v>6</v>
      </c>
      <c r="K83" s="6">
        <v>2</v>
      </c>
      <c r="L83" s="6">
        <v>3</v>
      </c>
      <c r="M83" s="6">
        <f t="shared" si="4"/>
        <v>-1</v>
      </c>
      <c r="N83" s="6">
        <f t="shared" si="5"/>
        <v>1</v>
      </c>
      <c r="O83" s="6" t="s">
        <v>1170</v>
      </c>
      <c r="P83" s="6" t="s">
        <v>1171</v>
      </c>
      <c r="T83" s="6" t="s">
        <v>8</v>
      </c>
      <c r="AK83" s="6" t="s">
        <v>8</v>
      </c>
      <c r="AY83" s="6" t="s">
        <v>8</v>
      </c>
      <c r="BL83" s="6" t="s">
        <v>8</v>
      </c>
      <c r="CC83" s="6" t="s">
        <v>8</v>
      </c>
      <c r="CF83" s="6" t="s">
        <v>8</v>
      </c>
      <c r="CI83" s="6" t="s">
        <v>8</v>
      </c>
      <c r="CK83" s="6" t="s">
        <v>8</v>
      </c>
      <c r="CM83" s="6" t="s">
        <v>8</v>
      </c>
      <c r="CO83" s="6" t="s">
        <v>8</v>
      </c>
      <c r="DC83" s="6" t="s">
        <v>8</v>
      </c>
    </row>
    <row r="84" spans="1:120" s="6" customFormat="1">
      <c r="A84" t="str">
        <f>HYPERLINK(".\links\pep\TI-145-pep.txt","TI-145")</f>
        <v>TI-145</v>
      </c>
      <c r="B84">
        <v>145</v>
      </c>
      <c r="C84" t="s">
        <v>7</v>
      </c>
      <c r="D84">
        <v>136</v>
      </c>
      <c r="E84">
        <v>0</v>
      </c>
      <c r="F84" t="str">
        <f>HYPERLINK(".\links\cds\TI-145-cds.txt","TI-145")</f>
        <v>TI-145</v>
      </c>
      <c r="G84">
        <v>411</v>
      </c>
      <c r="H84"/>
      <c r="I84" t="s">
        <v>29</v>
      </c>
      <c r="J84" t="s">
        <v>6</v>
      </c>
      <c r="K84">
        <v>3</v>
      </c>
      <c r="L84">
        <v>0</v>
      </c>
      <c r="M84">
        <f t="shared" si="4"/>
        <v>3</v>
      </c>
      <c r="N84">
        <f t="shared" si="5"/>
        <v>3</v>
      </c>
      <c r="O84" t="s">
        <v>1280</v>
      </c>
      <c r="P84" t="s">
        <v>1169</v>
      </c>
      <c r="Q84" t="str">
        <f>HYPERLINK(".\links\NR-LIGHT\TI-145-NR-LIGHT.txt","NR-LIGHT")</f>
        <v>NR-LIGHT</v>
      </c>
      <c r="R84" s="3">
        <v>2.9999999999999999E-56</v>
      </c>
      <c r="S84">
        <v>100.7</v>
      </c>
      <c r="T84" t="str">
        <f>HYPERLINK(".\links\NR-LIGHT\TI-145-NR-LIGHT.txt","ribosomal protein L27")</f>
        <v>ribosomal protein L27</v>
      </c>
      <c r="U84" t="str">
        <f>HYPERLINK("http://www.ncbi.nlm.nih.gov/sutils/blink.cgi?pid=187121184","3E-056")</f>
        <v>3E-056</v>
      </c>
      <c r="V84" t="str">
        <f>HYPERLINK("http://www.ncbi.nlm.nih.gov/protein/187121184","gi|187121184")</f>
        <v>gi|187121184</v>
      </c>
      <c r="W84">
        <v>219</v>
      </c>
      <c r="X84">
        <v>134</v>
      </c>
      <c r="Y84">
        <v>135</v>
      </c>
      <c r="Z84">
        <v>77</v>
      </c>
      <c r="AA84">
        <v>100</v>
      </c>
      <c r="AB84">
        <v>31</v>
      </c>
      <c r="AC84">
        <v>1</v>
      </c>
      <c r="AD84">
        <v>1</v>
      </c>
      <c r="AE84">
        <v>1</v>
      </c>
      <c r="AF84">
        <v>1</v>
      </c>
      <c r="AG84"/>
      <c r="AH84" t="s">
        <v>13</v>
      </c>
      <c r="AI84" t="s">
        <v>51</v>
      </c>
      <c r="AJ84" t="s">
        <v>264</v>
      </c>
      <c r="AK84" t="str">
        <f>HYPERLINK(".\links\SWISSP\TI-145-SWISSP.txt","60S ribosomal protein L27 OS=Danio rerio GN=rpl27 PE=2 SV=3")</f>
        <v>60S ribosomal protein L27 OS=Danio rerio GN=rpl27 PE=2 SV=3</v>
      </c>
      <c r="AL84" t="str">
        <f>HYPERLINK("http://www.uniprot.org/uniprot/Q7ZV82","6E-043")</f>
        <v>6E-043</v>
      </c>
      <c r="AM84" t="s">
        <v>149</v>
      </c>
      <c r="AN84">
        <v>172</v>
      </c>
      <c r="AO84">
        <v>135</v>
      </c>
      <c r="AP84">
        <v>136</v>
      </c>
      <c r="AQ84">
        <v>64</v>
      </c>
      <c r="AR84">
        <v>100</v>
      </c>
      <c r="AS84">
        <v>48</v>
      </c>
      <c r="AT84">
        <v>2</v>
      </c>
      <c r="AU84">
        <v>1</v>
      </c>
      <c r="AV84">
        <v>1</v>
      </c>
      <c r="AW84">
        <v>1</v>
      </c>
      <c r="AX84" t="s">
        <v>85</v>
      </c>
      <c r="AY84" t="str">
        <f>HYPERLINK(".\links\PREV-RHOD-PEP\TI-145-PREV-RHOD-PEP.txt","Contig17146_15")</f>
        <v>Contig17146_15</v>
      </c>
      <c r="AZ84" s="3">
        <v>9.9999999999999992E-66</v>
      </c>
      <c r="BA84" t="s">
        <v>1061</v>
      </c>
      <c r="BB84">
        <v>244</v>
      </c>
      <c r="BC84">
        <v>125</v>
      </c>
      <c r="BD84">
        <v>405</v>
      </c>
      <c r="BE84">
        <v>95</v>
      </c>
      <c r="BF84">
        <v>31</v>
      </c>
      <c r="BG84">
        <v>6</v>
      </c>
      <c r="BH84">
        <v>0</v>
      </c>
      <c r="BI84">
        <v>1</v>
      </c>
      <c r="BJ84">
        <v>1</v>
      </c>
      <c r="BK84">
        <v>1</v>
      </c>
      <c r="BL84" t="s">
        <v>647</v>
      </c>
      <c r="BM84">
        <f>HYPERLINK(".\links\GO\TI-145-GO.txt",3E-43)</f>
        <v>3E-43</v>
      </c>
      <c r="BN84" t="s">
        <v>373</v>
      </c>
      <c r="BO84" t="s">
        <v>373</v>
      </c>
      <c r="BP84"/>
      <c r="BQ84" t="s">
        <v>374</v>
      </c>
      <c r="BR84" s="3">
        <v>3E-43</v>
      </c>
      <c r="BS84" t="s">
        <v>648</v>
      </c>
      <c r="BT84" t="s">
        <v>323</v>
      </c>
      <c r="BU84" t="s">
        <v>334</v>
      </c>
      <c r="BV84" t="s">
        <v>649</v>
      </c>
      <c r="BW84" s="3">
        <v>3E-43</v>
      </c>
      <c r="BX84" t="s">
        <v>380</v>
      </c>
      <c r="BY84" t="s">
        <v>373</v>
      </c>
      <c r="BZ84"/>
      <c r="CA84" t="s">
        <v>381</v>
      </c>
      <c r="CB84" s="3">
        <v>3E-43</v>
      </c>
      <c r="CC84" t="s">
        <v>8</v>
      </c>
      <c r="CD84"/>
      <c r="CE84"/>
      <c r="CF84" t="s">
        <v>8</v>
      </c>
      <c r="CG84"/>
      <c r="CH84"/>
      <c r="CI84" t="s">
        <v>8</v>
      </c>
      <c r="CJ84"/>
      <c r="CK84" t="s">
        <v>8</v>
      </c>
      <c r="CL84"/>
      <c r="CM84" t="s">
        <v>8</v>
      </c>
      <c r="CN84"/>
      <c r="CO84" t="s">
        <v>8</v>
      </c>
      <c r="CP84"/>
      <c r="CQ84"/>
      <c r="CR84"/>
      <c r="CS84"/>
      <c r="CT84"/>
      <c r="CU84"/>
      <c r="CV84"/>
      <c r="CW84"/>
      <c r="CX84"/>
      <c r="CY84"/>
      <c r="CZ84"/>
      <c r="DA84"/>
      <c r="DB84"/>
      <c r="DC84" t="s">
        <v>8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1:120" s="6" customFormat="1">
      <c r="A85" s="6" t="str">
        <f>HYPERLINK(".\links\pep\TI-146-pep.txt","TI-146")</f>
        <v>TI-146</v>
      </c>
      <c r="B85" s="6">
        <v>146</v>
      </c>
      <c r="C85" s="6" t="s">
        <v>23</v>
      </c>
      <c r="D85" s="6">
        <v>163</v>
      </c>
      <c r="E85" s="6">
        <v>0</v>
      </c>
      <c r="F85" s="6" t="str">
        <f>HYPERLINK(".\links\cds\TI-146-cds.txt","TI-146")</f>
        <v>TI-146</v>
      </c>
      <c r="G85" s="6">
        <v>492</v>
      </c>
      <c r="I85" s="6" t="s">
        <v>8</v>
      </c>
      <c r="J85" s="6" t="s">
        <v>6</v>
      </c>
      <c r="K85" s="6">
        <v>1</v>
      </c>
      <c r="L85" s="6">
        <v>0</v>
      </c>
      <c r="M85" s="6">
        <f t="shared" si="4"/>
        <v>1</v>
      </c>
      <c r="N85" s="6">
        <f t="shared" si="5"/>
        <v>1</v>
      </c>
      <c r="O85" s="6" t="s">
        <v>1170</v>
      </c>
      <c r="P85" s="6" t="s">
        <v>1171</v>
      </c>
      <c r="T85" s="6" t="str">
        <f>HYPERLINK(".\links\NR-LIGHT\TI-146-NR-LIGHT.txt","RE46519p")</f>
        <v>RE46519p</v>
      </c>
      <c r="U85" s="6" t="str">
        <f>HYPERLINK("http://www.ncbi.nlm.nih.gov/sutils/blink.cgi?pid=39752609","0.003")</f>
        <v>0.003</v>
      </c>
      <c r="V85" s="6" t="str">
        <f>HYPERLINK("http://www.ncbi.nlm.nih.gov/protein/39752609","gi|39752609")</f>
        <v>gi|39752609</v>
      </c>
      <c r="W85" s="6">
        <v>43.1</v>
      </c>
      <c r="X85" s="6">
        <v>468</v>
      </c>
      <c r="Y85" s="6">
        <v>645</v>
      </c>
      <c r="Z85" s="6">
        <v>27</v>
      </c>
      <c r="AA85" s="6">
        <v>73</v>
      </c>
      <c r="AB85" s="6">
        <v>102</v>
      </c>
      <c r="AC85" s="6">
        <v>32</v>
      </c>
      <c r="AD85" s="6">
        <v>29</v>
      </c>
      <c r="AE85" s="6">
        <v>16</v>
      </c>
      <c r="AF85" s="6">
        <v>6</v>
      </c>
      <c r="AH85" s="6" t="s">
        <v>13</v>
      </c>
      <c r="AI85" s="6" t="s">
        <v>51</v>
      </c>
      <c r="AJ85" s="6" t="s">
        <v>52</v>
      </c>
      <c r="AK85" s="6" t="s">
        <v>8</v>
      </c>
      <c r="AY85" s="6" t="str">
        <f>HYPERLINK(".\links\PREV-RHOD-PEP\TI-146-PREV-RHOD-PEP.txt","Contig17812_34")</f>
        <v>Contig17812_34</v>
      </c>
      <c r="AZ85" s="8">
        <v>8.9999999999999997E-45</v>
      </c>
      <c r="BA85" s="6" t="s">
        <v>1062</v>
      </c>
      <c r="BB85" s="6">
        <v>175</v>
      </c>
      <c r="BC85" s="6">
        <v>268</v>
      </c>
      <c r="BD85" s="6">
        <v>321</v>
      </c>
      <c r="BE85" s="6">
        <v>58</v>
      </c>
      <c r="BF85" s="6">
        <v>84</v>
      </c>
      <c r="BG85" s="6">
        <v>60</v>
      </c>
      <c r="BH85" s="6">
        <v>0</v>
      </c>
      <c r="BI85" s="6">
        <v>18</v>
      </c>
      <c r="BJ85" s="6">
        <v>16</v>
      </c>
      <c r="BK85" s="6">
        <v>3</v>
      </c>
      <c r="BL85" s="6" t="s">
        <v>8</v>
      </c>
      <c r="CC85" s="6" t="s">
        <v>8</v>
      </c>
      <c r="CF85" s="6" t="s">
        <v>8</v>
      </c>
      <c r="CI85" s="6" t="s">
        <v>8</v>
      </c>
      <c r="CK85" s="6" t="s">
        <v>8</v>
      </c>
      <c r="CM85" s="6" t="s">
        <v>8</v>
      </c>
      <c r="CO85" s="6" t="s">
        <v>8</v>
      </c>
      <c r="DC85" s="6" t="s">
        <v>8</v>
      </c>
    </row>
    <row r="86" spans="1:120" s="6" customFormat="1">
      <c r="A86" s="6" t="str">
        <f>HYPERLINK(".\links\pep\TI-147-pep.txt","TI-147")</f>
        <v>TI-147</v>
      </c>
      <c r="B86" s="6">
        <v>147</v>
      </c>
      <c r="C86" s="6" t="s">
        <v>25</v>
      </c>
      <c r="D86" s="6">
        <v>42</v>
      </c>
      <c r="E86" s="7">
        <v>52.380949999999999</v>
      </c>
      <c r="F86" s="6" t="str">
        <f>HYPERLINK(".\links\cds\TI-147-cds.txt","TI-147")</f>
        <v>TI-147</v>
      </c>
      <c r="G86" s="6">
        <v>129</v>
      </c>
      <c r="H86" s="6" t="s">
        <v>24</v>
      </c>
      <c r="I86" s="6" t="s">
        <v>8</v>
      </c>
      <c r="J86" s="6" t="s">
        <v>6</v>
      </c>
      <c r="K86" s="6">
        <v>1</v>
      </c>
      <c r="L86" s="6">
        <v>0</v>
      </c>
      <c r="M86" s="6">
        <f t="shared" si="4"/>
        <v>1</v>
      </c>
      <c r="N86" s="6">
        <f t="shared" si="5"/>
        <v>1</v>
      </c>
      <c r="O86" s="6" t="s">
        <v>1170</v>
      </c>
      <c r="P86" s="6" t="s">
        <v>1171</v>
      </c>
      <c r="T86" s="6" t="s">
        <v>8</v>
      </c>
      <c r="AK86" s="6" t="s">
        <v>8</v>
      </c>
      <c r="AY86" s="6" t="s">
        <v>8</v>
      </c>
      <c r="BL86" s="6" t="s">
        <v>8</v>
      </c>
      <c r="CC86" s="6" t="s">
        <v>8</v>
      </c>
      <c r="CF86" s="6" t="s">
        <v>8</v>
      </c>
      <c r="CI86" s="6" t="s">
        <v>8</v>
      </c>
      <c r="CK86" s="6" t="s">
        <v>8</v>
      </c>
      <c r="CM86" s="6" t="s">
        <v>8</v>
      </c>
      <c r="CO86" s="6" t="s">
        <v>8</v>
      </c>
      <c r="DC86" s="6" t="s">
        <v>8</v>
      </c>
    </row>
    <row r="87" spans="1:120" s="6" customFormat="1">
      <c r="A87" t="str">
        <f>HYPERLINK(".\links\pep\TI-151-pep.txt","TI-151")</f>
        <v>TI-151</v>
      </c>
      <c r="B87">
        <v>151</v>
      </c>
      <c r="C87" t="s">
        <v>7</v>
      </c>
      <c r="D87">
        <v>129</v>
      </c>
      <c r="E87">
        <v>0</v>
      </c>
      <c r="F87" t="str">
        <f>HYPERLINK(".\links\cds\TI-151-cds.txt","TI-151")</f>
        <v>TI-151</v>
      </c>
      <c r="G87">
        <v>390</v>
      </c>
      <c r="H87"/>
      <c r="I87" t="s">
        <v>29</v>
      </c>
      <c r="J87" t="s">
        <v>6</v>
      </c>
      <c r="K87">
        <v>1</v>
      </c>
      <c r="L87">
        <v>5</v>
      </c>
      <c r="M87">
        <f t="shared" si="4"/>
        <v>-4</v>
      </c>
      <c r="N87">
        <f t="shared" si="5"/>
        <v>4</v>
      </c>
      <c r="O87" t="s">
        <v>1167</v>
      </c>
      <c r="P87" t="s">
        <v>1168</v>
      </c>
      <c r="Q87" t="str">
        <f>HYPERLINK(".\links\NR-LIGHT\TI-151-NR-LIGHT.txt","NR-LIGHT")</f>
        <v>NR-LIGHT</v>
      </c>
      <c r="R87" s="3">
        <v>4E-41</v>
      </c>
      <c r="S87">
        <v>100</v>
      </c>
      <c r="T87" t="str">
        <f>HYPERLINK(".\links\NR-LIGHT\TI-151-NR-LIGHT.txt","salivary secreted protein")</f>
        <v>salivary secreted protein</v>
      </c>
      <c r="U87" t="str">
        <f>HYPERLINK("http://www.ncbi.nlm.nih.gov/sutils/blink.cgi?pid=149689094","4E-041")</f>
        <v>4E-041</v>
      </c>
      <c r="V87" t="str">
        <f>HYPERLINK("http://www.ncbi.nlm.nih.gov/protein/149689094","gi|149689094")</f>
        <v>gi|149689094</v>
      </c>
      <c r="W87">
        <v>168</v>
      </c>
      <c r="X87">
        <v>128</v>
      </c>
      <c r="Y87">
        <v>129</v>
      </c>
      <c r="Z87">
        <v>65</v>
      </c>
      <c r="AA87">
        <v>100</v>
      </c>
      <c r="AB87">
        <v>44</v>
      </c>
      <c r="AC87">
        <v>1</v>
      </c>
      <c r="AD87">
        <v>1</v>
      </c>
      <c r="AE87">
        <v>1</v>
      </c>
      <c r="AF87">
        <v>1</v>
      </c>
      <c r="AG87"/>
      <c r="AH87" t="s">
        <v>13</v>
      </c>
      <c r="AI87" t="s">
        <v>51</v>
      </c>
      <c r="AJ87" t="s">
        <v>273</v>
      </c>
      <c r="AK87" t="s">
        <v>8</v>
      </c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t="str">
        <f>HYPERLINK(".\links\PREV-RHOD-PEP\TI-151-PREV-RHOD-PEP.txt","Contig17819_86")</f>
        <v>Contig17819_86</v>
      </c>
      <c r="AZ87" s="3">
        <v>2.9999999999999999E-30</v>
      </c>
      <c r="BA87" t="s">
        <v>998</v>
      </c>
      <c r="BB87">
        <v>126</v>
      </c>
      <c r="BC87">
        <v>125</v>
      </c>
      <c r="BD87">
        <v>126</v>
      </c>
      <c r="BE87">
        <v>53</v>
      </c>
      <c r="BF87">
        <v>100</v>
      </c>
      <c r="BG87">
        <v>61</v>
      </c>
      <c r="BH87">
        <v>6</v>
      </c>
      <c r="BI87">
        <v>1</v>
      </c>
      <c r="BJ87">
        <v>1</v>
      </c>
      <c r="BK87">
        <v>1</v>
      </c>
      <c r="BL87" t="s">
        <v>8</v>
      </c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 t="s">
        <v>8</v>
      </c>
      <c r="CD87"/>
      <c r="CE87"/>
      <c r="CF87" t="s">
        <v>8</v>
      </c>
      <c r="CG87"/>
      <c r="CH87"/>
      <c r="CI87" t="s">
        <v>8</v>
      </c>
      <c r="CJ87"/>
      <c r="CK87" t="s">
        <v>8</v>
      </c>
      <c r="CL87"/>
      <c r="CM87" t="s">
        <v>8</v>
      </c>
      <c r="CN87"/>
      <c r="CO87" t="s">
        <v>8</v>
      </c>
      <c r="CP87"/>
      <c r="CQ87"/>
      <c r="CR87"/>
      <c r="CS87"/>
      <c r="CT87"/>
      <c r="CU87"/>
      <c r="CV87"/>
      <c r="CW87"/>
      <c r="CX87"/>
      <c r="CY87"/>
      <c r="CZ87"/>
      <c r="DA87"/>
      <c r="DB87"/>
      <c r="DC87" t="s">
        <v>8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1:120" s="6" customFormat="1">
      <c r="A88" t="str">
        <f>HYPERLINK(".\links\pep\TI-152-pep.txt","TI-152")</f>
        <v>TI-152</v>
      </c>
      <c r="B88">
        <v>152</v>
      </c>
      <c r="C88" t="s">
        <v>16</v>
      </c>
      <c r="D88">
        <v>200</v>
      </c>
      <c r="E88">
        <v>0</v>
      </c>
      <c r="F88" t="str">
        <f>HYPERLINK(".\links\cds\TI-152-cds.txt","TI-152")</f>
        <v>TI-152</v>
      </c>
      <c r="G88">
        <v>603</v>
      </c>
      <c r="H88"/>
      <c r="I88" t="s">
        <v>8</v>
      </c>
      <c r="J88" t="s">
        <v>6</v>
      </c>
      <c r="K88">
        <v>0</v>
      </c>
      <c r="L88">
        <v>9</v>
      </c>
      <c r="M88">
        <f t="shared" si="4"/>
        <v>-9</v>
      </c>
      <c r="N88">
        <f t="shared" si="5"/>
        <v>9</v>
      </c>
      <c r="O88" t="s">
        <v>1281</v>
      </c>
      <c r="P88" t="s">
        <v>1178</v>
      </c>
      <c r="Q88" t="str">
        <f>HYPERLINK(".\links\NR-LIGHT\TI-152-NR-LIGHT.txt","NR-LIGHT")</f>
        <v>NR-LIGHT</v>
      </c>
      <c r="R88" s="3">
        <v>7.9999999999999994E-24</v>
      </c>
      <c r="S88">
        <v>22.7</v>
      </c>
      <c r="T88" t="str">
        <f>HYPERLINK(".\links\NR-LIGHT\TI-152-NR-LIGHT.txt","hypothetical protein LOC100579034, partial")</f>
        <v>hypothetical protein LOC100579034, partial</v>
      </c>
      <c r="U88" t="str">
        <f>HYPERLINK("http://www.ncbi.nlm.nih.gov/sutils/blink.cgi?pid=328790765","8E-024")</f>
        <v>8E-024</v>
      </c>
      <c r="V88" t="str">
        <f>HYPERLINK("http://www.ncbi.nlm.nih.gov/protein/328790765","gi|328790765")</f>
        <v>gi|328790765</v>
      </c>
      <c r="W88">
        <v>112</v>
      </c>
      <c r="X88">
        <v>153</v>
      </c>
      <c r="Y88">
        <v>699</v>
      </c>
      <c r="Z88">
        <v>34</v>
      </c>
      <c r="AA88">
        <v>22</v>
      </c>
      <c r="AB88">
        <v>104</v>
      </c>
      <c r="AC88">
        <v>5</v>
      </c>
      <c r="AD88">
        <v>481</v>
      </c>
      <c r="AE88">
        <v>36</v>
      </c>
      <c r="AF88">
        <v>1</v>
      </c>
      <c r="AG88"/>
      <c r="AH88" t="s">
        <v>13</v>
      </c>
      <c r="AI88" t="s">
        <v>51</v>
      </c>
      <c r="AJ88" t="s">
        <v>83</v>
      </c>
      <c r="AK88" t="str">
        <f>HYPERLINK(".\links\SWISSP\TI-152-SWISSP.txt","NMDA receptor-regulated protein 2 OS=Homo sapiens GN=NARG2 PE=1 SV=2")</f>
        <v>NMDA receptor-regulated protein 2 OS=Homo sapiens GN=NARG2 PE=1 SV=2</v>
      </c>
      <c r="AL88" t="str">
        <f>HYPERLINK("http://www.uniprot.org/uniprot/Q659A1","2E-005")</f>
        <v>2E-005</v>
      </c>
      <c r="AM88" t="s">
        <v>150</v>
      </c>
      <c r="AN88">
        <v>49.3</v>
      </c>
      <c r="AO88">
        <v>99</v>
      </c>
      <c r="AP88">
        <v>982</v>
      </c>
      <c r="AQ88">
        <v>27</v>
      </c>
      <c r="AR88">
        <v>10</v>
      </c>
      <c r="AS88">
        <v>75</v>
      </c>
      <c r="AT88">
        <v>3</v>
      </c>
      <c r="AU88">
        <v>773</v>
      </c>
      <c r="AV88">
        <v>78</v>
      </c>
      <c r="AW88">
        <v>1</v>
      </c>
      <c r="AX88" t="s">
        <v>68</v>
      </c>
      <c r="AY88" t="str">
        <f>HYPERLINK(".\links\PREV-RHOD-PEP\TI-152-PREV-RHOD-PEP.txt","Contig17567_10")</f>
        <v>Contig17567_10</v>
      </c>
      <c r="AZ88" s="3">
        <v>1E-78</v>
      </c>
      <c r="BA88" t="s">
        <v>1063</v>
      </c>
      <c r="BB88">
        <v>288</v>
      </c>
      <c r="BC88">
        <v>178</v>
      </c>
      <c r="BD88">
        <v>753</v>
      </c>
      <c r="BE88">
        <v>77</v>
      </c>
      <c r="BF88">
        <v>24</v>
      </c>
      <c r="BG88">
        <v>40</v>
      </c>
      <c r="BH88">
        <v>0</v>
      </c>
      <c r="BI88">
        <v>492</v>
      </c>
      <c r="BJ88">
        <v>9</v>
      </c>
      <c r="BK88">
        <v>1</v>
      </c>
      <c r="BL88" t="s">
        <v>650</v>
      </c>
      <c r="BM88">
        <f>HYPERLINK(".\links\GO\TI-152-GO.txt",0.00004)</f>
        <v>4.0000000000000003E-5</v>
      </c>
      <c r="BN88" t="s">
        <v>8</v>
      </c>
      <c r="BO88" t="s">
        <v>8</v>
      </c>
      <c r="BP88" t="s">
        <v>8</v>
      </c>
      <c r="BQ88" t="s">
        <v>8</v>
      </c>
      <c r="BR88" t="s">
        <v>8</v>
      </c>
      <c r="BS88" t="s">
        <v>447</v>
      </c>
      <c r="BT88" t="s">
        <v>323</v>
      </c>
      <c r="BU88" t="s">
        <v>334</v>
      </c>
      <c r="BV88" t="s">
        <v>448</v>
      </c>
      <c r="BW88">
        <v>2.0000000000000001E-4</v>
      </c>
      <c r="BX88" t="s">
        <v>8</v>
      </c>
      <c r="BY88" t="s">
        <v>8</v>
      </c>
      <c r="BZ88" t="s">
        <v>8</v>
      </c>
      <c r="CA88" t="s">
        <v>8</v>
      </c>
      <c r="CB88" t="s">
        <v>8</v>
      </c>
      <c r="CC88" t="s">
        <v>8</v>
      </c>
      <c r="CD88"/>
      <c r="CE88"/>
      <c r="CF88" t="s">
        <v>8</v>
      </c>
      <c r="CG88"/>
      <c r="CH88"/>
      <c r="CI88" t="s">
        <v>8</v>
      </c>
      <c r="CJ88"/>
      <c r="CK88" t="s">
        <v>8</v>
      </c>
      <c r="CL88"/>
      <c r="CM88" t="s">
        <v>8</v>
      </c>
      <c r="CN88"/>
      <c r="CO88" t="s">
        <v>8</v>
      </c>
      <c r="CP88"/>
      <c r="CQ88"/>
      <c r="CR88"/>
      <c r="CS88"/>
      <c r="CT88"/>
      <c r="CU88"/>
      <c r="CV88"/>
      <c r="CW88"/>
      <c r="CX88"/>
      <c r="CY88"/>
      <c r="CZ88"/>
      <c r="DA88"/>
      <c r="DB88"/>
      <c r="DC88" t="s">
        <v>8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1:120" s="6" customFormat="1">
      <c r="A89" t="str">
        <f>HYPERLINK(".\links\pep\TI-153-pep.txt","TI-153")</f>
        <v>TI-153</v>
      </c>
      <c r="B89">
        <v>153</v>
      </c>
      <c r="C89" t="s">
        <v>7</v>
      </c>
      <c r="D89">
        <v>262</v>
      </c>
      <c r="E89" s="2">
        <v>4.5801530000000001</v>
      </c>
      <c r="F89" t="str">
        <f>HYPERLINK(".\links\cds\TI-153-cds.txt","TI-153")</f>
        <v>TI-153</v>
      </c>
      <c r="G89">
        <v>784</v>
      </c>
      <c r="H89" t="s">
        <v>24</v>
      </c>
      <c r="I89" t="s">
        <v>29</v>
      </c>
      <c r="J89" t="s">
        <v>8</v>
      </c>
      <c r="K89">
        <v>1</v>
      </c>
      <c r="L89">
        <v>0</v>
      </c>
      <c r="M89">
        <f t="shared" si="4"/>
        <v>1</v>
      </c>
      <c r="N89">
        <f t="shared" si="5"/>
        <v>1</v>
      </c>
      <c r="O89" t="s">
        <v>1282</v>
      </c>
      <c r="P89" t="s">
        <v>1172</v>
      </c>
      <c r="Q89" t="str">
        <f>HYPERLINK(".\links\NR-LIGHT\TI-153-NR-LIGHT.txt","NR-LIGHT")</f>
        <v>NR-LIGHT</v>
      </c>
      <c r="R89" s="3">
        <v>9.0000000000000008E-34</v>
      </c>
      <c r="S89">
        <v>70.099999999999994</v>
      </c>
      <c r="T89" t="str">
        <f>HYPERLINK(".\links\NR-LIGHT\TI-153-NR-LIGHT.txt","Aquaporin AQPAe.a, putative")</f>
        <v>Aquaporin AQPAe.a, putative</v>
      </c>
      <c r="U89" t="str">
        <f>HYPERLINK("http://www.ncbi.nlm.nih.gov/sutils/blink.cgi?pid=242009228","9E-034")</f>
        <v>9E-034</v>
      </c>
      <c r="V89" t="str">
        <f>HYPERLINK("http://www.ncbi.nlm.nih.gov/protein/242009228","gi|242009228")</f>
        <v>gi|242009228</v>
      </c>
      <c r="W89">
        <v>145</v>
      </c>
      <c r="X89">
        <v>196</v>
      </c>
      <c r="Y89">
        <v>281</v>
      </c>
      <c r="Z89">
        <v>41</v>
      </c>
      <c r="AA89">
        <v>70</v>
      </c>
      <c r="AB89">
        <v>115</v>
      </c>
      <c r="AC89">
        <v>1</v>
      </c>
      <c r="AD89">
        <v>41</v>
      </c>
      <c r="AE89">
        <v>6</v>
      </c>
      <c r="AF89">
        <v>1</v>
      </c>
      <c r="AG89"/>
      <c r="AH89" t="s">
        <v>13</v>
      </c>
      <c r="AI89" t="s">
        <v>51</v>
      </c>
      <c r="AJ89" t="s">
        <v>268</v>
      </c>
      <c r="AK89" t="str">
        <f>HYPERLINK(".\links\SWISSP\TI-153-SWISSP.txt","Aquaporin AQPAe.a OS=Aedes aegypti GN=AAEL003512 PE=2 SV=2")</f>
        <v>Aquaporin AQPAe.a OS=Aedes aegypti GN=AAEL003512 PE=2 SV=2</v>
      </c>
      <c r="AL89" t="str">
        <f>HYPERLINK("http://www.uniprot.org/uniprot/Q9NHW7","5E-033")</f>
        <v>5E-033</v>
      </c>
      <c r="AM89" t="s">
        <v>81</v>
      </c>
      <c r="AN89">
        <v>141</v>
      </c>
      <c r="AO89">
        <v>206</v>
      </c>
      <c r="AP89">
        <v>249</v>
      </c>
      <c r="AQ89">
        <v>38</v>
      </c>
      <c r="AR89">
        <v>83</v>
      </c>
      <c r="AS89">
        <v>127</v>
      </c>
      <c r="AT89">
        <v>1</v>
      </c>
      <c r="AU89">
        <v>6</v>
      </c>
      <c r="AV89">
        <v>2</v>
      </c>
      <c r="AW89">
        <v>1</v>
      </c>
      <c r="AX89" t="s">
        <v>76</v>
      </c>
      <c r="AY89" t="str">
        <f>HYPERLINK(".\links\PREV-RHOD-PEP\TI-153-PREV-RHOD-PEP.txt","Contig16870_3")</f>
        <v>Contig16870_3</v>
      </c>
      <c r="AZ89" s="3">
        <v>5E-79</v>
      </c>
      <c r="BA89" t="s">
        <v>1005</v>
      </c>
      <c r="BB89">
        <v>290</v>
      </c>
      <c r="BC89">
        <v>202</v>
      </c>
      <c r="BD89">
        <v>245</v>
      </c>
      <c r="BE89">
        <v>75</v>
      </c>
      <c r="BF89">
        <v>83</v>
      </c>
      <c r="BG89">
        <v>49</v>
      </c>
      <c r="BH89">
        <v>0</v>
      </c>
      <c r="BI89">
        <v>4</v>
      </c>
      <c r="BJ89">
        <v>2</v>
      </c>
      <c r="BK89">
        <v>1</v>
      </c>
      <c r="BL89" t="s">
        <v>420</v>
      </c>
      <c r="BM89">
        <f>HYPERLINK(".\links\GO\TI-153-GO.txt",4E-26)</f>
        <v>4.0000000000000002E-26</v>
      </c>
      <c r="BN89" t="s">
        <v>421</v>
      </c>
      <c r="BO89" t="s">
        <v>319</v>
      </c>
      <c r="BP89" t="s">
        <v>422</v>
      </c>
      <c r="BQ89" t="s">
        <v>423</v>
      </c>
      <c r="BR89" s="3">
        <v>4.0000000000000002E-26</v>
      </c>
      <c r="BS89" t="s">
        <v>424</v>
      </c>
      <c r="BT89" t="s">
        <v>323</v>
      </c>
      <c r="BU89" t="s">
        <v>390</v>
      </c>
      <c r="BV89" t="s">
        <v>425</v>
      </c>
      <c r="BW89" s="3">
        <v>4.0000000000000002E-26</v>
      </c>
      <c r="BX89" t="s">
        <v>426</v>
      </c>
      <c r="BY89" t="s">
        <v>319</v>
      </c>
      <c r="BZ89" t="s">
        <v>422</v>
      </c>
      <c r="CA89" t="s">
        <v>427</v>
      </c>
      <c r="CB89" s="3">
        <v>4.0000000000000002E-26</v>
      </c>
      <c r="CC89" t="s">
        <v>8</v>
      </c>
      <c r="CD89"/>
      <c r="CE89"/>
      <c r="CF89" t="s">
        <v>8</v>
      </c>
      <c r="CG89"/>
      <c r="CH89"/>
      <c r="CI89" t="s">
        <v>8</v>
      </c>
      <c r="CJ89"/>
      <c r="CK89" t="s">
        <v>8</v>
      </c>
      <c r="CL89"/>
      <c r="CM89" t="s">
        <v>8</v>
      </c>
      <c r="CN89"/>
      <c r="CO89" t="s">
        <v>8</v>
      </c>
      <c r="CP89"/>
      <c r="CQ89"/>
      <c r="CR89"/>
      <c r="CS89"/>
      <c r="CT89"/>
      <c r="CU89"/>
      <c r="CV89"/>
      <c r="CW89"/>
      <c r="CX89"/>
      <c r="CY89"/>
      <c r="CZ89"/>
      <c r="DA89"/>
      <c r="DB89"/>
      <c r="DC89" t="s">
        <v>8</v>
      </c>
      <c r="DD89"/>
      <c r="DE89"/>
      <c r="DF89"/>
      <c r="DG89"/>
      <c r="DH89"/>
      <c r="DI89"/>
      <c r="DJ89"/>
      <c r="DK89"/>
      <c r="DL89"/>
      <c r="DM89"/>
      <c r="DN89"/>
      <c r="DO89"/>
      <c r="DP89"/>
    </row>
    <row r="90" spans="1:120" s="6" customFormat="1">
      <c r="A90" s="6" t="str">
        <f>HYPERLINK(".\links\pep\TI-156-pep.txt","TI-156")</f>
        <v>TI-156</v>
      </c>
      <c r="B90" s="6">
        <v>156</v>
      </c>
      <c r="C90" s="6" t="s">
        <v>20</v>
      </c>
      <c r="D90" s="6">
        <v>49</v>
      </c>
      <c r="E90" s="7">
        <v>12.244899999999999</v>
      </c>
      <c r="F90" s="6" t="str">
        <f>HYPERLINK(".\links\cds\TI-156-cds.txt","TI-156")</f>
        <v>TI-156</v>
      </c>
      <c r="G90" s="6">
        <v>150</v>
      </c>
      <c r="I90" s="6" t="s">
        <v>8</v>
      </c>
      <c r="J90" s="6" t="s">
        <v>6</v>
      </c>
      <c r="K90" s="6">
        <v>1</v>
      </c>
      <c r="L90" s="6">
        <v>0</v>
      </c>
      <c r="M90" s="6">
        <f t="shared" si="4"/>
        <v>1</v>
      </c>
      <c r="N90" s="6">
        <f t="shared" si="5"/>
        <v>1</v>
      </c>
      <c r="O90" s="6" t="s">
        <v>1170</v>
      </c>
      <c r="P90" s="6" t="s">
        <v>1171</v>
      </c>
      <c r="T90" s="6" t="str">
        <f>HYPERLINK(".\links\NR-LIGHT\TI-156-NR-LIGHT.txt","short trialysin 1")</f>
        <v>short trialysin 1</v>
      </c>
      <c r="U90" s="6" t="str">
        <f>HYPERLINK("http://www.ncbi.nlm.nih.gov/sutils/blink.cgi?pid=149689036","1E-009")</f>
        <v>1E-009</v>
      </c>
      <c r="V90" s="6" t="str">
        <f>HYPERLINK("http://www.ncbi.nlm.nih.gov/protein/149689036","gi|149689036")</f>
        <v>gi|149689036</v>
      </c>
      <c r="W90" s="6">
        <v>64.3</v>
      </c>
      <c r="X90" s="6">
        <v>48</v>
      </c>
      <c r="Y90" s="6">
        <v>76</v>
      </c>
      <c r="Z90" s="6">
        <v>63</v>
      </c>
      <c r="AA90" s="6">
        <v>64</v>
      </c>
      <c r="AB90" s="6">
        <v>18</v>
      </c>
      <c r="AC90" s="6">
        <v>0</v>
      </c>
      <c r="AD90" s="6">
        <v>28</v>
      </c>
      <c r="AE90" s="6">
        <v>1</v>
      </c>
      <c r="AF90" s="6">
        <v>1</v>
      </c>
      <c r="AH90" s="6" t="s">
        <v>13</v>
      </c>
      <c r="AI90" s="6" t="s">
        <v>51</v>
      </c>
      <c r="AJ90" s="6" t="s">
        <v>273</v>
      </c>
      <c r="AK90" s="6" t="s">
        <v>8</v>
      </c>
      <c r="AY90" s="6" t="s">
        <v>8</v>
      </c>
      <c r="BL90" s="6" t="s">
        <v>8</v>
      </c>
      <c r="CC90" s="6" t="s">
        <v>8</v>
      </c>
      <c r="CF90" s="6" t="s">
        <v>8</v>
      </c>
      <c r="CI90" s="6" t="s">
        <v>8</v>
      </c>
      <c r="CK90" s="6" t="s">
        <v>8</v>
      </c>
      <c r="CM90" s="6" t="s">
        <v>8</v>
      </c>
      <c r="CO90" s="6" t="s">
        <v>8</v>
      </c>
      <c r="DC90" s="6" t="s">
        <v>8</v>
      </c>
    </row>
    <row r="91" spans="1:120" s="6" customFormat="1">
      <c r="A91" s="6" t="str">
        <f>HYPERLINK(".\links\pep\TI-158-pep.txt","TI-158")</f>
        <v>TI-158</v>
      </c>
      <c r="B91" s="6">
        <v>158</v>
      </c>
      <c r="C91" s="6" t="s">
        <v>7</v>
      </c>
      <c r="D91" s="6">
        <v>47</v>
      </c>
      <c r="E91" s="6">
        <v>0</v>
      </c>
      <c r="F91" s="6" t="str">
        <f>HYPERLINK(".\links\cds\TI-158-cds.txt","TI-158")</f>
        <v>TI-158</v>
      </c>
      <c r="G91" s="6">
        <v>139</v>
      </c>
      <c r="I91" s="6" t="s">
        <v>29</v>
      </c>
      <c r="J91" s="6" t="s">
        <v>8</v>
      </c>
      <c r="K91" s="6">
        <v>1</v>
      </c>
      <c r="L91" s="6">
        <v>0</v>
      </c>
      <c r="M91" s="6">
        <f t="shared" si="4"/>
        <v>1</v>
      </c>
      <c r="N91" s="6">
        <f t="shared" si="5"/>
        <v>1</v>
      </c>
      <c r="O91" s="6" t="s">
        <v>1170</v>
      </c>
      <c r="P91" s="6" t="s">
        <v>1171</v>
      </c>
      <c r="T91" s="6" t="str">
        <f>HYPERLINK(".\links\NR-LIGHT\TI-158-NR-LIGHT.txt","similar to adducin")</f>
        <v>similar to adducin</v>
      </c>
      <c r="U91" s="6" t="str">
        <f>HYPERLINK("http://www.ncbi.nlm.nih.gov/sutils/blink.cgi?pid=189234212","1E-005")</f>
        <v>1E-005</v>
      </c>
      <c r="V91" s="6" t="str">
        <f>HYPERLINK("http://www.ncbi.nlm.nih.gov/protein/189234212","gi|189234212")</f>
        <v>gi|189234212</v>
      </c>
      <c r="W91" s="6">
        <v>50.8</v>
      </c>
      <c r="X91" s="6">
        <v>38</v>
      </c>
      <c r="Y91" s="6">
        <v>736</v>
      </c>
      <c r="Z91" s="6">
        <v>56</v>
      </c>
      <c r="AA91" s="6">
        <v>5</v>
      </c>
      <c r="AB91" s="6">
        <v>17</v>
      </c>
      <c r="AC91" s="6">
        <v>0</v>
      </c>
      <c r="AD91" s="6">
        <v>1</v>
      </c>
      <c r="AE91" s="6">
        <v>1</v>
      </c>
      <c r="AF91" s="6">
        <v>1</v>
      </c>
      <c r="AH91" s="6" t="s">
        <v>13</v>
      </c>
      <c r="AI91" s="6" t="s">
        <v>51</v>
      </c>
      <c r="AJ91" s="6" t="s">
        <v>266</v>
      </c>
      <c r="AK91" s="6" t="s">
        <v>8</v>
      </c>
      <c r="AY91" s="6" t="str">
        <f>HYPERLINK(".\links\PREV-RHOD-PEP\TI-158-PREV-RHOD-PEP.txt","Contig17403_16")</f>
        <v>Contig17403_16</v>
      </c>
      <c r="AZ91" s="8">
        <v>2.0000000000000002E-15</v>
      </c>
      <c r="BA91" s="6" t="s">
        <v>1064</v>
      </c>
      <c r="BB91" s="6">
        <v>77.400000000000006</v>
      </c>
      <c r="BC91" s="6">
        <v>38</v>
      </c>
      <c r="BD91" s="6">
        <v>1686</v>
      </c>
      <c r="BE91" s="6">
        <v>92</v>
      </c>
      <c r="BF91" s="6">
        <v>2</v>
      </c>
      <c r="BG91" s="6">
        <v>3</v>
      </c>
      <c r="BH91" s="6">
        <v>0</v>
      </c>
      <c r="BI91" s="6">
        <v>1</v>
      </c>
      <c r="BJ91" s="6">
        <v>1</v>
      </c>
      <c r="BK91" s="6">
        <v>1</v>
      </c>
      <c r="BL91" s="6" t="s">
        <v>651</v>
      </c>
      <c r="BM91" s="6">
        <f>HYPERLINK(".\links\GO\TI-158-GO.txt",0.003)</f>
        <v>3.0000000000000001E-3</v>
      </c>
      <c r="BN91" s="6" t="s">
        <v>652</v>
      </c>
      <c r="BO91" s="6" t="s">
        <v>340</v>
      </c>
      <c r="BP91" s="6" t="s">
        <v>341</v>
      </c>
      <c r="BQ91" s="6" t="s">
        <v>653</v>
      </c>
      <c r="BR91" s="6">
        <v>3.0000000000000001E-3</v>
      </c>
      <c r="BS91" s="6" t="s">
        <v>654</v>
      </c>
      <c r="BT91" s="6" t="s">
        <v>323</v>
      </c>
      <c r="BU91" s="6" t="s">
        <v>334</v>
      </c>
      <c r="BV91" s="6" t="s">
        <v>655</v>
      </c>
      <c r="BW91" s="6">
        <v>3.0000000000000001E-3</v>
      </c>
      <c r="BX91" s="6" t="s">
        <v>656</v>
      </c>
      <c r="BY91" s="6" t="s">
        <v>340</v>
      </c>
      <c r="BZ91" s="6" t="s">
        <v>341</v>
      </c>
      <c r="CA91" s="6" t="s">
        <v>657</v>
      </c>
      <c r="CB91" s="6">
        <v>3.0000000000000001E-3</v>
      </c>
      <c r="CC91" s="6" t="s">
        <v>8</v>
      </c>
      <c r="CF91" s="6" t="s">
        <v>8</v>
      </c>
      <c r="CI91" s="6" t="s">
        <v>8</v>
      </c>
      <c r="CK91" s="6" t="s">
        <v>8</v>
      </c>
      <c r="CM91" s="6" t="s">
        <v>8</v>
      </c>
      <c r="CO91" s="6" t="s">
        <v>8</v>
      </c>
      <c r="DC91" s="6" t="s">
        <v>8</v>
      </c>
    </row>
    <row r="92" spans="1:120" s="6" customFormat="1">
      <c r="A92" t="str">
        <f>HYPERLINK(".\links\pep\TI-160-pep.txt","TI-160")</f>
        <v>TI-160</v>
      </c>
      <c r="B92">
        <v>160</v>
      </c>
      <c r="C92" t="s">
        <v>7</v>
      </c>
      <c r="D92">
        <v>193</v>
      </c>
      <c r="E92" s="2">
        <v>2.0725389999999999</v>
      </c>
      <c r="F92" t="str">
        <f>HYPERLINK(".\links\cds\TI-160-cds.txt","TI-160")</f>
        <v>TI-160</v>
      </c>
      <c r="G92">
        <v>576</v>
      </c>
      <c r="H92"/>
      <c r="I92" t="s">
        <v>29</v>
      </c>
      <c r="J92" t="s">
        <v>8</v>
      </c>
      <c r="K92">
        <v>1</v>
      </c>
      <c r="L92">
        <v>0</v>
      </c>
      <c r="M92">
        <f t="shared" si="4"/>
        <v>1</v>
      </c>
      <c r="N92">
        <f t="shared" si="5"/>
        <v>1</v>
      </c>
      <c r="O92" t="s">
        <v>1283</v>
      </c>
      <c r="P92" t="s">
        <v>1181</v>
      </c>
      <c r="Q92" t="str">
        <f>HYPERLINK(".\links\GO\TI-160-GO.txt","GO")</f>
        <v>GO</v>
      </c>
      <c r="R92" s="3">
        <v>4.9999999999999996E-66</v>
      </c>
      <c r="S92">
        <v>52</v>
      </c>
      <c r="T92" t="str">
        <f>HYPERLINK(".\links\NR-LIGHT\TI-160-NR-LIGHT.txt","similar to splicing factor pTSR1, putative")</f>
        <v>similar to splicing factor pTSR1, putative</v>
      </c>
      <c r="U92" t="str">
        <f>HYPERLINK("http://www.ncbi.nlm.nih.gov/sutils/blink.cgi?pid=91088003","2E-082")</f>
        <v>2E-082</v>
      </c>
      <c r="V92" t="str">
        <f>HYPERLINK("http://www.ncbi.nlm.nih.gov/protein/91088003","gi|91088003")</f>
        <v>gi|91088003</v>
      </c>
      <c r="W92">
        <v>306</v>
      </c>
      <c r="X92">
        <v>192</v>
      </c>
      <c r="Y92">
        <v>328</v>
      </c>
      <c r="Z92">
        <v>75</v>
      </c>
      <c r="AA92">
        <v>59</v>
      </c>
      <c r="AB92">
        <v>47</v>
      </c>
      <c r="AC92">
        <v>0</v>
      </c>
      <c r="AD92">
        <v>1</v>
      </c>
      <c r="AE92">
        <v>1</v>
      </c>
      <c r="AF92">
        <v>1</v>
      </c>
      <c r="AG92"/>
      <c r="AH92" t="s">
        <v>13</v>
      </c>
      <c r="AI92" t="s">
        <v>51</v>
      </c>
      <c r="AJ92" t="s">
        <v>266</v>
      </c>
      <c r="AK92" t="str">
        <f>HYPERLINK(".\links\SWISSP\TI-160-SWISSP.txt","Putative RNA-binding protein Luc7-like 2 OS=Homo sapiens GN=LUC7L2 PE=1 SV=2")</f>
        <v>Putative RNA-binding protein Luc7-like 2 OS=Homo sapiens GN=LUC7L2 PE=1 SV=2</v>
      </c>
      <c r="AL92" t="str">
        <f>HYPERLINK("http://www.uniprot.org/uniprot/Q9Y383","4E-068")</f>
        <v>4E-068</v>
      </c>
      <c r="AM92" t="s">
        <v>98</v>
      </c>
      <c r="AN92">
        <v>257</v>
      </c>
      <c r="AO92">
        <v>192</v>
      </c>
      <c r="AP92">
        <v>392</v>
      </c>
      <c r="AQ92">
        <v>63</v>
      </c>
      <c r="AR92">
        <v>49</v>
      </c>
      <c r="AS92">
        <v>70</v>
      </c>
      <c r="AT92">
        <v>0</v>
      </c>
      <c r="AU92">
        <v>1</v>
      </c>
      <c r="AV92">
        <v>1</v>
      </c>
      <c r="AW92">
        <v>1</v>
      </c>
      <c r="AX92" t="s">
        <v>68</v>
      </c>
      <c r="AY92" t="str">
        <f>HYPERLINK(".\links\PREV-RHOD-PEP\TI-160-PREV-RHOD-PEP.txt","Contig17364_25")</f>
        <v>Contig17364_25</v>
      </c>
      <c r="AZ92" s="3">
        <v>9.9999999999999991E-97</v>
      </c>
      <c r="BA92" t="s">
        <v>1013</v>
      </c>
      <c r="BB92">
        <v>348</v>
      </c>
      <c r="BC92">
        <v>202</v>
      </c>
      <c r="BD92">
        <v>316</v>
      </c>
      <c r="BE92">
        <v>84</v>
      </c>
      <c r="BF92">
        <v>64</v>
      </c>
      <c r="BG92">
        <v>31</v>
      </c>
      <c r="BH92">
        <v>10</v>
      </c>
      <c r="BI92">
        <v>1</v>
      </c>
      <c r="BJ92">
        <v>1</v>
      </c>
      <c r="BK92">
        <v>1</v>
      </c>
      <c r="BL92" t="s">
        <v>472</v>
      </c>
      <c r="BM92">
        <f>HYPERLINK(".\links\GO\TI-160-GO.txt",3E-71)</f>
        <v>3.0000000000000001E-71</v>
      </c>
      <c r="BN92" t="s">
        <v>339</v>
      </c>
      <c r="BO92" t="s">
        <v>340</v>
      </c>
      <c r="BP92" t="s">
        <v>341</v>
      </c>
      <c r="BQ92" t="s">
        <v>342</v>
      </c>
      <c r="BR92" s="3">
        <v>4.9999999999999996E-66</v>
      </c>
      <c r="BS92" t="s">
        <v>447</v>
      </c>
      <c r="BT92" t="s">
        <v>323</v>
      </c>
      <c r="BU92" t="s">
        <v>334</v>
      </c>
      <c r="BV92" t="s">
        <v>448</v>
      </c>
      <c r="BW92" s="3">
        <v>4.9999999999999996E-66</v>
      </c>
      <c r="BX92" t="s">
        <v>473</v>
      </c>
      <c r="BY92" t="s">
        <v>340</v>
      </c>
      <c r="BZ92" t="s">
        <v>341</v>
      </c>
      <c r="CA92" t="s">
        <v>474</v>
      </c>
      <c r="CB92" s="3">
        <v>4.9999999999999996E-66</v>
      </c>
      <c r="CC92" t="s">
        <v>8</v>
      </c>
      <c r="CD92"/>
      <c r="CE92"/>
      <c r="CF92" t="s">
        <v>8</v>
      </c>
      <c r="CG92"/>
      <c r="CH92"/>
      <c r="CI92" t="s">
        <v>8</v>
      </c>
      <c r="CJ92"/>
      <c r="CK92" t="s">
        <v>8</v>
      </c>
      <c r="CL92"/>
      <c r="CM92" t="s">
        <v>8</v>
      </c>
      <c r="CN92"/>
      <c r="CO92" t="s">
        <v>8</v>
      </c>
      <c r="CP92"/>
      <c r="CQ92"/>
      <c r="CR92"/>
      <c r="CS92"/>
      <c r="CT92"/>
      <c r="CU92"/>
      <c r="CV92"/>
      <c r="CW92"/>
      <c r="CX92"/>
      <c r="CY92"/>
      <c r="CZ92"/>
      <c r="DA92"/>
      <c r="DB92"/>
      <c r="DC92" t="s">
        <v>8</v>
      </c>
      <c r="DD92"/>
      <c r="DE92"/>
      <c r="DF92"/>
      <c r="DG92"/>
      <c r="DH92"/>
      <c r="DI92"/>
      <c r="DJ92"/>
      <c r="DK92"/>
      <c r="DL92"/>
      <c r="DM92"/>
      <c r="DN92"/>
      <c r="DO92"/>
      <c r="DP92"/>
    </row>
    <row r="93" spans="1:120" s="6" customFormat="1">
      <c r="A93" s="6" t="str">
        <f>HYPERLINK(".\links\pep\TI-162-pep.txt","TI-162")</f>
        <v>TI-162</v>
      </c>
      <c r="B93" s="6">
        <v>162</v>
      </c>
      <c r="C93" s="6" t="s">
        <v>26</v>
      </c>
      <c r="D93" s="6">
        <v>54</v>
      </c>
      <c r="E93" s="6">
        <v>0</v>
      </c>
      <c r="F93" s="6" t="str">
        <f>HYPERLINK(".\links\cds\TI-162-cds.txt","TI-162")</f>
        <v>TI-162</v>
      </c>
      <c r="G93" s="6">
        <v>165</v>
      </c>
      <c r="I93" s="6" t="s">
        <v>8</v>
      </c>
      <c r="J93" s="6" t="s">
        <v>6</v>
      </c>
      <c r="K93" s="6">
        <v>1</v>
      </c>
      <c r="L93" s="6">
        <v>0</v>
      </c>
      <c r="M93" s="6">
        <f t="shared" si="4"/>
        <v>1</v>
      </c>
      <c r="N93" s="6">
        <f t="shared" si="5"/>
        <v>1</v>
      </c>
      <c r="O93" s="6" t="s">
        <v>1170</v>
      </c>
      <c r="P93" s="6" t="s">
        <v>1171</v>
      </c>
      <c r="T93" s="6" t="s">
        <v>8</v>
      </c>
      <c r="AK93" s="6" t="s">
        <v>8</v>
      </c>
      <c r="AY93" s="6" t="s">
        <v>8</v>
      </c>
      <c r="BL93" s="6" t="s">
        <v>8</v>
      </c>
      <c r="CC93" s="6" t="s">
        <v>8</v>
      </c>
      <c r="CF93" s="6" t="s">
        <v>8</v>
      </c>
      <c r="CI93" s="6" t="s">
        <v>8</v>
      </c>
      <c r="CK93" s="6" t="s">
        <v>8</v>
      </c>
      <c r="CM93" s="6" t="s">
        <v>8</v>
      </c>
      <c r="CO93" s="6" t="s">
        <v>8</v>
      </c>
      <c r="DC93" s="6" t="s">
        <v>8</v>
      </c>
    </row>
    <row r="94" spans="1:120" s="6" customFormat="1">
      <c r="A94" s="6" t="str">
        <f>HYPERLINK(".\links\pep\TI-168-pep.txt","TI-168")</f>
        <v>TI-168</v>
      </c>
      <c r="B94" s="6">
        <v>168</v>
      </c>
      <c r="C94" s="6" t="s">
        <v>10</v>
      </c>
      <c r="D94" s="6">
        <v>32</v>
      </c>
      <c r="E94" s="6">
        <v>0</v>
      </c>
      <c r="F94" s="6" t="str">
        <f>HYPERLINK(".\links\cds\TI-168-cds.txt","TI-168")</f>
        <v>TI-168</v>
      </c>
      <c r="G94" s="6">
        <v>99</v>
      </c>
      <c r="I94" s="6" t="s">
        <v>8</v>
      </c>
      <c r="J94" s="6" t="s">
        <v>6</v>
      </c>
      <c r="K94" s="6">
        <v>3</v>
      </c>
      <c r="L94" s="6">
        <v>1</v>
      </c>
      <c r="M94" s="6">
        <f t="shared" si="4"/>
        <v>2</v>
      </c>
      <c r="N94" s="6">
        <f t="shared" si="5"/>
        <v>2</v>
      </c>
      <c r="O94" s="6" t="s">
        <v>1170</v>
      </c>
      <c r="P94" s="6" t="s">
        <v>1171</v>
      </c>
      <c r="T94" s="6" t="s">
        <v>8</v>
      </c>
      <c r="AK94" s="6" t="s">
        <v>8</v>
      </c>
      <c r="AY94" s="6" t="s">
        <v>8</v>
      </c>
      <c r="BL94" s="6" t="s">
        <v>8</v>
      </c>
      <c r="CC94" s="6" t="s">
        <v>8</v>
      </c>
      <c r="CF94" s="6" t="s">
        <v>8</v>
      </c>
      <c r="CI94" s="6" t="s">
        <v>8</v>
      </c>
      <c r="CK94" s="6" t="s">
        <v>8</v>
      </c>
      <c r="CM94" s="6" t="s">
        <v>8</v>
      </c>
      <c r="CO94" s="6" t="s">
        <v>8</v>
      </c>
      <c r="DC94" s="6" t="s">
        <v>8</v>
      </c>
    </row>
    <row r="95" spans="1:120" s="6" customFormat="1">
      <c r="A95" t="str">
        <f>HYPERLINK(".\links\pep\TI-170-pep.txt","TI-170")</f>
        <v>TI-170</v>
      </c>
      <c r="B95">
        <v>170</v>
      </c>
      <c r="C95" t="s">
        <v>22</v>
      </c>
      <c r="D95">
        <v>96</v>
      </c>
      <c r="E95">
        <v>0</v>
      </c>
      <c r="F95" t="str">
        <f>HYPERLINK(".\links\cds\TI-170-cds.txt","TI-170")</f>
        <v>TI-170</v>
      </c>
      <c r="G95">
        <v>291</v>
      </c>
      <c r="H95"/>
      <c r="I95" t="s">
        <v>8</v>
      </c>
      <c r="J95" t="s">
        <v>6</v>
      </c>
      <c r="K95">
        <v>1</v>
      </c>
      <c r="L95">
        <v>0</v>
      </c>
      <c r="M95">
        <f t="shared" si="4"/>
        <v>1</v>
      </c>
      <c r="N95">
        <f t="shared" si="5"/>
        <v>1</v>
      </c>
      <c r="O95" t="s">
        <v>1284</v>
      </c>
      <c r="P95" t="s">
        <v>1172</v>
      </c>
      <c r="Q95" t="str">
        <f>HYPERLINK(".\links\NR-LIGHT\TI-170-NR-LIGHT.txt","NR-LIGHT")</f>
        <v>NR-LIGHT</v>
      </c>
      <c r="R95" s="3">
        <v>1.0000000000000001E-18</v>
      </c>
      <c r="S95">
        <v>10.7</v>
      </c>
      <c r="T95" t="str">
        <f>HYPERLINK(".\links\NR-LIGHT\TI-170-NR-LIGHT.txt","solute carrier organic anion transporter family member 5A1-like")</f>
        <v>solute carrier organic anion transporter family member 5A1-like</v>
      </c>
      <c r="U95" t="str">
        <f>HYPERLINK("http://www.ncbi.nlm.nih.gov/sutils/blink.cgi?pid=328786599","1E-018")</f>
        <v>1E-018</v>
      </c>
      <c r="V95" t="str">
        <f>HYPERLINK("http://www.ncbi.nlm.nih.gov/protein/328786599","gi|328786599")</f>
        <v>gi|328786599</v>
      </c>
      <c r="W95">
        <v>94</v>
      </c>
      <c r="X95">
        <v>76</v>
      </c>
      <c r="Y95">
        <v>717</v>
      </c>
      <c r="Z95">
        <v>49</v>
      </c>
      <c r="AA95">
        <v>11</v>
      </c>
      <c r="AB95">
        <v>39</v>
      </c>
      <c r="AC95">
        <v>0</v>
      </c>
      <c r="AD95">
        <v>639</v>
      </c>
      <c r="AE95">
        <v>3</v>
      </c>
      <c r="AF95">
        <v>1</v>
      </c>
      <c r="AG95"/>
      <c r="AH95" t="s">
        <v>13</v>
      </c>
      <c r="AI95" t="s">
        <v>51</v>
      </c>
      <c r="AJ95" t="s">
        <v>83</v>
      </c>
      <c r="AK95" t="str">
        <f>HYPERLINK(".\links\SWISSP\TI-170-SWISSP.txt","Solute carrier organic anion transporter family member 5A1 OS=Homo sapiens")</f>
        <v>Solute carrier organic anion transporter family member 5A1 OS=Homo sapiens</v>
      </c>
      <c r="AL95" t="str">
        <f>HYPERLINK("http://www.uniprot.org/uniprot/Q9H2Y9","1E-004")</f>
        <v>1E-004</v>
      </c>
      <c r="AM95" t="s">
        <v>151</v>
      </c>
      <c r="AN95">
        <v>45.1</v>
      </c>
      <c r="AO95">
        <v>45</v>
      </c>
      <c r="AP95">
        <v>848</v>
      </c>
      <c r="AQ95">
        <v>36</v>
      </c>
      <c r="AR95">
        <v>5</v>
      </c>
      <c r="AS95">
        <v>29</v>
      </c>
      <c r="AT95">
        <v>0</v>
      </c>
      <c r="AU95">
        <v>704</v>
      </c>
      <c r="AV95">
        <v>2</v>
      </c>
      <c r="AW95">
        <v>1</v>
      </c>
      <c r="AX95" t="s">
        <v>68</v>
      </c>
      <c r="AY95" t="str">
        <f>HYPERLINK(".\links\PREV-RHOD-PEP\TI-170-PREV-RHOD-PEP.txt","Contig17959_89")</f>
        <v>Contig17959_89</v>
      </c>
      <c r="AZ95" s="3">
        <v>5.9999999999999998E-35</v>
      </c>
      <c r="BA95" t="s">
        <v>1065</v>
      </c>
      <c r="BB95">
        <v>142</v>
      </c>
      <c r="BC95">
        <v>87</v>
      </c>
      <c r="BD95">
        <v>224</v>
      </c>
      <c r="BE95">
        <v>78</v>
      </c>
      <c r="BF95">
        <v>39</v>
      </c>
      <c r="BG95">
        <v>19</v>
      </c>
      <c r="BH95">
        <v>1</v>
      </c>
      <c r="BI95">
        <v>137</v>
      </c>
      <c r="BJ95">
        <v>8</v>
      </c>
      <c r="BK95">
        <v>1</v>
      </c>
      <c r="BL95" t="s">
        <v>658</v>
      </c>
      <c r="BM95">
        <f>HYPERLINK(".\links\GO\TI-170-GO.txt",0.0000000000000007)</f>
        <v>7.0000000000000003E-16</v>
      </c>
      <c r="BN95" t="s">
        <v>659</v>
      </c>
      <c r="BO95" t="s">
        <v>319</v>
      </c>
      <c r="BP95" t="s">
        <v>320</v>
      </c>
      <c r="BQ95" t="s">
        <v>660</v>
      </c>
      <c r="BR95" s="3">
        <v>7.0000000000000003E-16</v>
      </c>
      <c r="BS95" t="s">
        <v>322</v>
      </c>
      <c r="BT95" t="s">
        <v>323</v>
      </c>
      <c r="BU95" t="s">
        <v>324</v>
      </c>
      <c r="BV95" t="s">
        <v>325</v>
      </c>
      <c r="BW95" s="3">
        <v>7.0000000000000003E-16</v>
      </c>
      <c r="BX95" t="s">
        <v>661</v>
      </c>
      <c r="BY95" t="s">
        <v>319</v>
      </c>
      <c r="BZ95" t="s">
        <v>320</v>
      </c>
      <c r="CA95" t="s">
        <v>662</v>
      </c>
      <c r="CB95" s="3">
        <v>7.0000000000000003E-16</v>
      </c>
      <c r="CC95" t="s">
        <v>8</v>
      </c>
      <c r="CD95"/>
      <c r="CE95"/>
      <c r="CF95" t="s">
        <v>8</v>
      </c>
      <c r="CG95"/>
      <c r="CH95"/>
      <c r="CI95" t="s">
        <v>8</v>
      </c>
      <c r="CJ95"/>
      <c r="CK95" t="s">
        <v>8</v>
      </c>
      <c r="CL95"/>
      <c r="CM95" t="s">
        <v>8</v>
      </c>
      <c r="CN95"/>
      <c r="CO95" t="s">
        <v>8</v>
      </c>
      <c r="CP95"/>
      <c r="CQ95"/>
      <c r="CR95"/>
      <c r="CS95"/>
      <c r="CT95"/>
      <c r="CU95"/>
      <c r="CV95"/>
      <c r="CW95"/>
      <c r="CX95"/>
      <c r="CY95"/>
      <c r="CZ95"/>
      <c r="DA95"/>
      <c r="DB95"/>
      <c r="DC95" t="s">
        <v>8</v>
      </c>
      <c r="DD95"/>
      <c r="DE95"/>
      <c r="DF95"/>
      <c r="DG95"/>
      <c r="DH95"/>
      <c r="DI95"/>
      <c r="DJ95"/>
      <c r="DK95"/>
      <c r="DL95"/>
      <c r="DM95"/>
      <c r="DN95"/>
      <c r="DO95"/>
      <c r="DP95"/>
    </row>
    <row r="96" spans="1:120" s="6" customFormat="1">
      <c r="A96" s="6" t="str">
        <f>HYPERLINK(".\links\pep\TI-171-pep.txt","TI-171")</f>
        <v>TI-171</v>
      </c>
      <c r="B96" s="6">
        <v>171</v>
      </c>
      <c r="C96" s="6" t="s">
        <v>12</v>
      </c>
      <c r="D96" s="6">
        <v>12</v>
      </c>
      <c r="E96" s="6">
        <v>0</v>
      </c>
      <c r="F96" s="6" t="str">
        <f>HYPERLINK(".\links\cds\TI-171-cds.txt","TI-171")</f>
        <v>TI-171</v>
      </c>
      <c r="G96" s="6">
        <v>39</v>
      </c>
      <c r="I96" s="6" t="s">
        <v>8</v>
      </c>
      <c r="J96" s="6" t="s">
        <v>6</v>
      </c>
      <c r="K96" s="6">
        <v>1</v>
      </c>
      <c r="L96" s="6">
        <v>0</v>
      </c>
      <c r="M96" s="6">
        <f t="shared" si="4"/>
        <v>1</v>
      </c>
      <c r="N96" s="6">
        <f t="shared" si="5"/>
        <v>1</v>
      </c>
      <c r="O96" s="6" t="s">
        <v>1170</v>
      </c>
      <c r="P96" s="6" t="s">
        <v>1171</v>
      </c>
      <c r="T96" s="6" t="s">
        <v>8</v>
      </c>
      <c r="AK96" s="6" t="s">
        <v>8</v>
      </c>
      <c r="AY96" s="6" t="s">
        <v>8</v>
      </c>
      <c r="BL96" s="6" t="s">
        <v>8</v>
      </c>
      <c r="CC96" s="6" t="s">
        <v>8</v>
      </c>
      <c r="CF96" s="6" t="s">
        <v>8</v>
      </c>
      <c r="CI96" s="6" t="s">
        <v>8</v>
      </c>
      <c r="CK96" s="6" t="s">
        <v>8</v>
      </c>
      <c r="CM96" s="6" t="s">
        <v>8</v>
      </c>
      <c r="CO96" s="6" t="s">
        <v>8</v>
      </c>
      <c r="DC96" s="6" t="s">
        <v>8</v>
      </c>
    </row>
    <row r="97" spans="1:120" s="6" customFormat="1">
      <c r="A97" t="str">
        <f>HYPERLINK(".\links\pep\TI-172-pep.txt","TI-172")</f>
        <v>TI-172</v>
      </c>
      <c r="B97">
        <v>172</v>
      </c>
      <c r="C97" t="s">
        <v>7</v>
      </c>
      <c r="D97">
        <v>68</v>
      </c>
      <c r="E97">
        <v>0</v>
      </c>
      <c r="F97" t="str">
        <f>HYPERLINK(".\links\cds\TI-172-cds.txt","TI-172")</f>
        <v>TI-172</v>
      </c>
      <c r="G97">
        <v>207</v>
      </c>
      <c r="H97"/>
      <c r="I97" t="s">
        <v>29</v>
      </c>
      <c r="J97" t="s">
        <v>6</v>
      </c>
      <c r="K97">
        <v>0</v>
      </c>
      <c r="L97">
        <v>1</v>
      </c>
      <c r="M97">
        <f t="shared" si="4"/>
        <v>-1</v>
      </c>
      <c r="N97">
        <f t="shared" si="5"/>
        <v>1</v>
      </c>
      <c r="O97" t="s">
        <v>1285</v>
      </c>
      <c r="P97" t="s">
        <v>1189</v>
      </c>
      <c r="Q97" t="str">
        <f>HYPERLINK(".\links\GO\TI-172-GO.txt","GO")</f>
        <v>GO</v>
      </c>
      <c r="R97" s="3">
        <v>9.9999999999999995E-21</v>
      </c>
      <c r="S97">
        <v>100</v>
      </c>
      <c r="T97" t="str">
        <f>HYPERLINK(".\links\NR-LIGHT\TI-172-NR-LIGHT.txt","similar to Sec61p gamma subunit")</f>
        <v>similar to Sec61p gamma subunit</v>
      </c>
      <c r="U97" t="str">
        <f>HYPERLINK("http://www.ncbi.nlm.nih.gov/sutils/blink.cgi?pid=156536879","8E-021")</f>
        <v>8E-021</v>
      </c>
      <c r="V97" t="str">
        <f>HYPERLINK("http://www.ncbi.nlm.nih.gov/protein/156536879","gi|156536879")</f>
        <v>gi|156536879</v>
      </c>
      <c r="W97">
        <v>101</v>
      </c>
      <c r="X97">
        <v>67</v>
      </c>
      <c r="Y97">
        <v>68</v>
      </c>
      <c r="Z97">
        <v>73</v>
      </c>
      <c r="AA97">
        <v>100</v>
      </c>
      <c r="AB97">
        <v>18</v>
      </c>
      <c r="AC97">
        <v>0</v>
      </c>
      <c r="AD97">
        <v>1</v>
      </c>
      <c r="AE97">
        <v>1</v>
      </c>
      <c r="AF97">
        <v>1</v>
      </c>
      <c r="AG97"/>
      <c r="AH97" t="s">
        <v>13</v>
      </c>
      <c r="AI97" t="s">
        <v>51</v>
      </c>
      <c r="AJ97" t="s">
        <v>274</v>
      </c>
      <c r="AK97" t="str">
        <f>HYPERLINK(".\links\SWISSP\TI-172-SWISSP.txt","Protein transport protein Sec61 subunit gamma OS=Gryllotalpa orientalis")</f>
        <v>Protein transport protein Sec61 subunit gamma OS=Gryllotalpa orientalis</v>
      </c>
      <c r="AL97" t="str">
        <f>HYPERLINK("http://www.uniprot.org/uniprot/Q7Z1B8","8E-022")</f>
        <v>8E-022</v>
      </c>
      <c r="AM97" t="s">
        <v>152</v>
      </c>
      <c r="AN97">
        <v>102</v>
      </c>
      <c r="AO97">
        <v>67</v>
      </c>
      <c r="AP97">
        <v>68</v>
      </c>
      <c r="AQ97">
        <v>73</v>
      </c>
      <c r="AR97">
        <v>100</v>
      </c>
      <c r="AS97">
        <v>18</v>
      </c>
      <c r="AT97">
        <v>0</v>
      </c>
      <c r="AU97">
        <v>1</v>
      </c>
      <c r="AV97">
        <v>1</v>
      </c>
      <c r="AW97">
        <v>1</v>
      </c>
      <c r="AX97" t="s">
        <v>153</v>
      </c>
      <c r="AY97" t="str">
        <f>HYPERLINK(".\links\PREV-RHOD-PEP\TI-172-PREV-RHOD-PEP.txt","Contig17891_121")</f>
        <v>Contig17891_121</v>
      </c>
      <c r="AZ97" s="3">
        <v>3E-23</v>
      </c>
      <c r="BA97" t="s">
        <v>1066</v>
      </c>
      <c r="BB97">
        <v>103</v>
      </c>
      <c r="BC97">
        <v>65</v>
      </c>
      <c r="BD97">
        <v>66</v>
      </c>
      <c r="BE97">
        <v>80</v>
      </c>
      <c r="BF97">
        <v>100</v>
      </c>
      <c r="BG97">
        <v>13</v>
      </c>
      <c r="BH97">
        <v>0</v>
      </c>
      <c r="BI97">
        <v>1</v>
      </c>
      <c r="BJ97">
        <v>1</v>
      </c>
      <c r="BK97">
        <v>1</v>
      </c>
      <c r="BL97" t="s">
        <v>663</v>
      </c>
      <c r="BM97">
        <f>HYPERLINK(".\links\GO\TI-172-GO.txt",1E-20)</f>
        <v>9.9999999999999995E-21</v>
      </c>
      <c r="BN97" t="s">
        <v>621</v>
      </c>
      <c r="BO97" t="s">
        <v>319</v>
      </c>
      <c r="BP97" t="s">
        <v>320</v>
      </c>
      <c r="BQ97" t="s">
        <v>622</v>
      </c>
      <c r="BR97" s="3">
        <v>1.9999999999999999E-20</v>
      </c>
      <c r="BS97" t="s">
        <v>623</v>
      </c>
      <c r="BT97" t="s">
        <v>477</v>
      </c>
      <c r="BU97" t="s">
        <v>477</v>
      </c>
      <c r="BV97" t="s">
        <v>624</v>
      </c>
      <c r="BW97" s="3">
        <v>1.9999999999999999E-20</v>
      </c>
      <c r="BX97" t="s">
        <v>625</v>
      </c>
      <c r="BY97" t="s">
        <v>319</v>
      </c>
      <c r="BZ97" t="s">
        <v>320</v>
      </c>
      <c r="CA97" t="s">
        <v>626</v>
      </c>
      <c r="CB97" s="3">
        <v>1.9999999999999999E-20</v>
      </c>
      <c r="CC97" t="s">
        <v>8</v>
      </c>
      <c r="CD97"/>
      <c r="CE97"/>
      <c r="CF97" t="s">
        <v>8</v>
      </c>
      <c r="CG97"/>
      <c r="CH97"/>
      <c r="CI97" t="s">
        <v>8</v>
      </c>
      <c r="CJ97"/>
      <c r="CK97" t="s">
        <v>8</v>
      </c>
      <c r="CL97"/>
      <c r="CM97" t="s">
        <v>8</v>
      </c>
      <c r="CN97"/>
      <c r="CO97" t="s">
        <v>8</v>
      </c>
      <c r="CP97"/>
      <c r="CQ97"/>
      <c r="CR97"/>
      <c r="CS97"/>
      <c r="CT97"/>
      <c r="CU97"/>
      <c r="CV97"/>
      <c r="CW97"/>
      <c r="CX97"/>
      <c r="CY97"/>
      <c r="CZ97"/>
      <c r="DA97"/>
      <c r="DB97"/>
      <c r="DC97" t="s">
        <v>8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</row>
    <row r="98" spans="1:120" s="6" customFormat="1">
      <c r="A98" t="str">
        <f>HYPERLINK(".\links\pep\TI-173-pep.txt","TI-173")</f>
        <v>TI-173</v>
      </c>
      <c r="B98">
        <v>173</v>
      </c>
      <c r="C98" t="s">
        <v>11</v>
      </c>
      <c r="D98">
        <v>138</v>
      </c>
      <c r="E98">
        <v>0</v>
      </c>
      <c r="F98" t="str">
        <f>HYPERLINK(".\links\cds\TI-173-cds.txt","TI-173")</f>
        <v>TI-173</v>
      </c>
      <c r="G98">
        <v>417</v>
      </c>
      <c r="H98"/>
      <c r="I98" t="s">
        <v>8</v>
      </c>
      <c r="J98" t="s">
        <v>6</v>
      </c>
      <c r="K98">
        <v>0</v>
      </c>
      <c r="L98">
        <v>1</v>
      </c>
      <c r="M98">
        <f t="shared" si="4"/>
        <v>-1</v>
      </c>
      <c r="N98">
        <f t="shared" si="5"/>
        <v>1</v>
      </c>
      <c r="O98" t="s">
        <v>1286</v>
      </c>
      <c r="P98" t="s">
        <v>1172</v>
      </c>
      <c r="Q98" t="str">
        <f>HYPERLINK(".\links\GO\TI-173-GO.txt","GO")</f>
        <v>GO</v>
      </c>
      <c r="R98" s="3">
        <v>1.9999999999999999E-34</v>
      </c>
      <c r="S98">
        <v>57.8</v>
      </c>
      <c r="T98" t="str">
        <f>HYPERLINK(".\links\NR-LIGHT\TI-173-NR-LIGHT.txt","oligomycin sensitivity conferring protein precursor")</f>
        <v>oligomycin sensitivity conferring protein precursor</v>
      </c>
      <c r="U98" t="str">
        <f>HYPERLINK("http://www.ncbi.nlm.nih.gov/sutils/blink.cgi?pid=1490236","4E-033")</f>
        <v>4E-033</v>
      </c>
      <c r="V98" t="str">
        <f>HYPERLINK("http://www.ncbi.nlm.nih.gov/protein/1490236","gi|1490236")</f>
        <v>gi|1490236</v>
      </c>
      <c r="W98">
        <v>142</v>
      </c>
      <c r="X98">
        <v>120</v>
      </c>
      <c r="Y98">
        <v>209</v>
      </c>
      <c r="Z98">
        <v>55</v>
      </c>
      <c r="AA98">
        <v>58</v>
      </c>
      <c r="AB98">
        <v>54</v>
      </c>
      <c r="AC98">
        <v>0</v>
      </c>
      <c r="AD98">
        <v>15</v>
      </c>
      <c r="AE98">
        <v>18</v>
      </c>
      <c r="AF98">
        <v>1</v>
      </c>
      <c r="AG98"/>
      <c r="AH98" t="s">
        <v>13</v>
      </c>
      <c r="AI98" t="s">
        <v>51</v>
      </c>
      <c r="AJ98" t="s">
        <v>52</v>
      </c>
      <c r="AK98" t="str">
        <f>HYPERLINK(".\links\SWISSP\TI-173-SWISSP.txt","ATP synthase subunit O, mitochondrial OS=Drosophila melanogaster GN=Oscp PE=2")</f>
        <v>ATP synthase subunit O, mitochondrial OS=Drosophila melanogaster GN=Oscp PE=2</v>
      </c>
      <c r="AL98" t="str">
        <f>HYPERLINK("http://www.uniprot.org/uniprot/Q24439","8E-034")</f>
        <v>8E-034</v>
      </c>
      <c r="AM98" t="s">
        <v>154</v>
      </c>
      <c r="AN98">
        <v>142</v>
      </c>
      <c r="AO98">
        <v>120</v>
      </c>
      <c r="AP98">
        <v>209</v>
      </c>
      <c r="AQ98">
        <v>55</v>
      </c>
      <c r="AR98">
        <v>58</v>
      </c>
      <c r="AS98">
        <v>54</v>
      </c>
      <c r="AT98">
        <v>0</v>
      </c>
      <c r="AU98">
        <v>15</v>
      </c>
      <c r="AV98">
        <v>18</v>
      </c>
      <c r="AW98">
        <v>1</v>
      </c>
      <c r="AX98" t="s">
        <v>52</v>
      </c>
      <c r="AY98" t="str">
        <f>HYPERLINK(".\links\PREV-RHOD-PEP\TI-173-PREV-RHOD-PEP.txt","Contig17635_30")</f>
        <v>Contig17635_30</v>
      </c>
      <c r="AZ98" s="3">
        <v>4E-55</v>
      </c>
      <c r="BA98" t="s">
        <v>1067</v>
      </c>
      <c r="BB98">
        <v>209</v>
      </c>
      <c r="BC98">
        <v>132</v>
      </c>
      <c r="BD98">
        <v>208</v>
      </c>
      <c r="BE98">
        <v>75</v>
      </c>
      <c r="BF98">
        <v>64</v>
      </c>
      <c r="BG98">
        <v>32</v>
      </c>
      <c r="BH98">
        <v>0</v>
      </c>
      <c r="BI98">
        <v>2</v>
      </c>
      <c r="BJ98">
        <v>6</v>
      </c>
      <c r="BK98">
        <v>1</v>
      </c>
      <c r="BL98" t="s">
        <v>664</v>
      </c>
      <c r="BM98">
        <f>HYPERLINK(".\links\GO\TI-173-GO.txt",2E-34)</f>
        <v>1.9999999999999999E-34</v>
      </c>
      <c r="BN98" t="s">
        <v>548</v>
      </c>
      <c r="BO98" t="s">
        <v>345</v>
      </c>
      <c r="BP98" t="s">
        <v>349</v>
      </c>
      <c r="BQ98" t="s">
        <v>549</v>
      </c>
      <c r="BR98" s="3">
        <v>1.9999999999999999E-34</v>
      </c>
      <c r="BS98" t="s">
        <v>665</v>
      </c>
      <c r="BT98" t="s">
        <v>323</v>
      </c>
      <c r="BU98" t="s">
        <v>551</v>
      </c>
      <c r="BV98" t="s">
        <v>666</v>
      </c>
      <c r="BW98" s="3">
        <v>1.9999999999999999E-34</v>
      </c>
      <c r="BX98" t="s">
        <v>553</v>
      </c>
      <c r="BY98" t="s">
        <v>345</v>
      </c>
      <c r="BZ98" t="s">
        <v>349</v>
      </c>
      <c r="CA98" t="s">
        <v>554</v>
      </c>
      <c r="CB98" s="3">
        <v>1.9999999999999999E-34</v>
      </c>
      <c r="CC98" t="s">
        <v>8</v>
      </c>
      <c r="CD98"/>
      <c r="CE98"/>
      <c r="CF98" t="s">
        <v>8</v>
      </c>
      <c r="CG98"/>
      <c r="CH98"/>
      <c r="CI98" t="s">
        <v>8</v>
      </c>
      <c r="CJ98"/>
      <c r="CK98" t="s">
        <v>8</v>
      </c>
      <c r="CL98"/>
      <c r="CM98" t="s">
        <v>8</v>
      </c>
      <c r="CN98"/>
      <c r="CO98" t="s">
        <v>8</v>
      </c>
      <c r="CP98"/>
      <c r="CQ98"/>
      <c r="CR98"/>
      <c r="CS98"/>
      <c r="CT98"/>
      <c r="CU98"/>
      <c r="CV98"/>
      <c r="CW98"/>
      <c r="CX98"/>
      <c r="CY98"/>
      <c r="CZ98"/>
      <c r="DA98"/>
      <c r="DB98"/>
      <c r="DC98" t="s">
        <v>8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</row>
    <row r="99" spans="1:120" s="6" customFormat="1">
      <c r="A99" s="6" t="str">
        <f>HYPERLINK(".\links\pep\TI-175-pep.txt","TI-175")</f>
        <v>TI-175</v>
      </c>
      <c r="B99" s="6">
        <v>175</v>
      </c>
      <c r="C99" s="6" t="s">
        <v>7</v>
      </c>
      <c r="D99" s="6">
        <v>233</v>
      </c>
      <c r="E99" s="6">
        <v>0</v>
      </c>
      <c r="F99" s="6" t="str">
        <f>HYPERLINK(".\links\cds\TI-175-cds.txt","TI-175")</f>
        <v>TI-175</v>
      </c>
      <c r="G99" s="6">
        <v>702</v>
      </c>
      <c r="I99" s="6" t="s">
        <v>29</v>
      </c>
      <c r="J99" s="6" t="s">
        <v>6</v>
      </c>
      <c r="K99" s="6">
        <v>0</v>
      </c>
      <c r="L99" s="6">
        <v>2</v>
      </c>
      <c r="M99" s="6">
        <f t="shared" si="4"/>
        <v>-2</v>
      </c>
      <c r="N99" s="6">
        <f t="shared" si="5"/>
        <v>2</v>
      </c>
      <c r="O99" s="6" t="s">
        <v>1170</v>
      </c>
      <c r="P99" s="6" t="s">
        <v>1171</v>
      </c>
      <c r="T99" s="6" t="str">
        <f>HYPERLINK(".\links\NR-LIGHT\TI-175-NR-LIGHT.txt","conserved hypothetical protein")</f>
        <v>conserved hypothetical protein</v>
      </c>
      <c r="U99" s="6" t="str">
        <f>HYPERLINK("http://www.ncbi.nlm.nih.gov/sutils/blink.cgi?pid=170057069","2E-005")</f>
        <v>2E-005</v>
      </c>
      <c r="V99" s="6" t="str">
        <f>HYPERLINK("http://www.ncbi.nlm.nih.gov/protein/170057069","gi|170057069")</f>
        <v>gi|170057069</v>
      </c>
      <c r="W99" s="6">
        <v>51.2</v>
      </c>
      <c r="X99" s="6">
        <v>118</v>
      </c>
      <c r="Y99" s="6">
        <v>243</v>
      </c>
      <c r="Z99" s="6">
        <v>30</v>
      </c>
      <c r="AA99" s="6">
        <v>49</v>
      </c>
      <c r="AB99" s="6">
        <v>83</v>
      </c>
      <c r="AC99" s="6">
        <v>8</v>
      </c>
      <c r="AD99" s="6">
        <v>29</v>
      </c>
      <c r="AE99" s="6">
        <v>20</v>
      </c>
      <c r="AF99" s="6">
        <v>1</v>
      </c>
      <c r="AH99" s="6" t="s">
        <v>13</v>
      </c>
      <c r="AI99" s="6" t="s">
        <v>51</v>
      </c>
      <c r="AJ99" s="6" t="s">
        <v>263</v>
      </c>
      <c r="AK99" s="6" t="s">
        <v>8</v>
      </c>
      <c r="AY99" s="6" t="str">
        <f>HYPERLINK(".\links\PREV-RHOD-PEP\TI-175-PREV-RHOD-PEP.txt","Contig17963_37")</f>
        <v>Contig17963_37</v>
      </c>
      <c r="AZ99" s="8">
        <v>9.9999999999999997E-106</v>
      </c>
      <c r="BA99" s="6" t="s">
        <v>1068</v>
      </c>
      <c r="BB99" s="6">
        <v>377</v>
      </c>
      <c r="BC99" s="6">
        <v>232</v>
      </c>
      <c r="BD99" s="6">
        <v>233</v>
      </c>
      <c r="BE99" s="6">
        <v>75</v>
      </c>
      <c r="BF99" s="6">
        <v>100</v>
      </c>
      <c r="BG99" s="6">
        <v>57</v>
      </c>
      <c r="BH99" s="6">
        <v>0</v>
      </c>
      <c r="BI99" s="6">
        <v>1</v>
      </c>
      <c r="BJ99" s="6">
        <v>1</v>
      </c>
      <c r="BK99" s="6">
        <v>1</v>
      </c>
      <c r="BL99" s="6" t="s">
        <v>8</v>
      </c>
      <c r="CC99" s="6" t="s">
        <v>8</v>
      </c>
      <c r="CF99" s="6" t="s">
        <v>8</v>
      </c>
      <c r="CI99" s="6" t="s">
        <v>8</v>
      </c>
      <c r="CK99" s="6" t="s">
        <v>8</v>
      </c>
      <c r="CM99" s="6" t="s">
        <v>8</v>
      </c>
      <c r="CO99" s="6" t="s">
        <v>8</v>
      </c>
      <c r="DC99" s="6" t="s">
        <v>8</v>
      </c>
    </row>
    <row r="100" spans="1:120" s="6" customFormat="1">
      <c r="A100" s="6" t="str">
        <f>HYPERLINK(".\links\pep\TI-178-pep.txt","TI-178")</f>
        <v>TI-178</v>
      </c>
      <c r="B100" s="6">
        <v>178</v>
      </c>
      <c r="C100" s="6" t="s">
        <v>19</v>
      </c>
      <c r="D100" s="6">
        <v>156</v>
      </c>
      <c r="E100" s="6">
        <v>0</v>
      </c>
      <c r="F100" s="6" t="str">
        <f>HYPERLINK(".\links\cds\TI-178-cds.txt","TI-178")</f>
        <v>TI-178</v>
      </c>
      <c r="G100" s="6">
        <v>471</v>
      </c>
      <c r="I100" s="6" t="s">
        <v>8</v>
      </c>
      <c r="J100" s="6" t="s">
        <v>6</v>
      </c>
      <c r="K100" s="6">
        <v>1</v>
      </c>
      <c r="L100" s="6">
        <v>0</v>
      </c>
      <c r="M100" s="6">
        <f t="shared" si="4"/>
        <v>1</v>
      </c>
      <c r="N100" s="6">
        <f t="shared" si="5"/>
        <v>1</v>
      </c>
      <c r="O100" s="6" t="s">
        <v>1170</v>
      </c>
      <c r="P100" s="6" t="s">
        <v>1171</v>
      </c>
      <c r="T100" s="6" t="str">
        <f>HYPERLINK(".\links\NR-LIGHT\TI-178-NR-LIGHT.txt","LOW QUALITY PROTEIN: folliculin-interacting protein 2-like")</f>
        <v>LOW QUALITY PROTEIN: folliculin-interacting protein 2-like</v>
      </c>
      <c r="U100" s="6" t="str">
        <f>HYPERLINK("http://www.ncbi.nlm.nih.gov/sutils/blink.cgi?pid=311262183","3.4")</f>
        <v>3.4</v>
      </c>
      <c r="V100" s="6" t="str">
        <f>HYPERLINK("http://www.ncbi.nlm.nih.gov/protein/311262183","gi|311262183")</f>
        <v>gi|311262183</v>
      </c>
      <c r="W100" s="6">
        <v>32.700000000000003</v>
      </c>
      <c r="X100" s="6">
        <v>57</v>
      </c>
      <c r="Y100" s="6">
        <v>1044</v>
      </c>
      <c r="Z100" s="6">
        <v>35</v>
      </c>
      <c r="AA100" s="6">
        <v>6</v>
      </c>
      <c r="AB100" s="6">
        <v>38</v>
      </c>
      <c r="AC100" s="6">
        <v>1</v>
      </c>
      <c r="AD100" s="6">
        <v>409</v>
      </c>
      <c r="AE100" s="6">
        <v>55</v>
      </c>
      <c r="AF100" s="6">
        <v>1</v>
      </c>
      <c r="AH100" s="6" t="s">
        <v>13</v>
      </c>
      <c r="AI100" s="6" t="s">
        <v>51</v>
      </c>
      <c r="AJ100" s="6" t="s">
        <v>283</v>
      </c>
      <c r="AK100" s="6" t="s">
        <v>8</v>
      </c>
      <c r="AY100" s="6" t="str">
        <f>HYPERLINK(".\links\PREV-RHOD-PEP\TI-178-PREV-RHOD-PEP.txt","Contig7471_2")</f>
        <v>Contig7471_2</v>
      </c>
      <c r="AZ100" s="8">
        <v>2.0000000000000001E-33</v>
      </c>
      <c r="BA100" s="6" t="s">
        <v>1069</v>
      </c>
      <c r="BB100" s="6">
        <v>137</v>
      </c>
      <c r="BC100" s="6">
        <v>140</v>
      </c>
      <c r="BD100" s="6">
        <v>410</v>
      </c>
      <c r="BE100" s="6">
        <v>50</v>
      </c>
      <c r="BF100" s="6">
        <v>34</v>
      </c>
      <c r="BG100" s="6">
        <v>70</v>
      </c>
      <c r="BH100" s="6">
        <v>1</v>
      </c>
      <c r="BI100" s="6">
        <v>149</v>
      </c>
      <c r="BJ100" s="6">
        <v>15</v>
      </c>
      <c r="BK100" s="6">
        <v>1</v>
      </c>
      <c r="BL100" s="6" t="s">
        <v>8</v>
      </c>
      <c r="CC100" s="6" t="s">
        <v>8</v>
      </c>
      <c r="CF100" s="6" t="s">
        <v>8</v>
      </c>
      <c r="CI100" s="6" t="s">
        <v>8</v>
      </c>
      <c r="CK100" s="6" t="s">
        <v>8</v>
      </c>
      <c r="CM100" s="6" t="s">
        <v>8</v>
      </c>
      <c r="CO100" s="6" t="s">
        <v>8</v>
      </c>
      <c r="DC100" s="6" t="s">
        <v>8</v>
      </c>
    </row>
    <row r="101" spans="1:120" s="6" customFormat="1">
      <c r="A101" t="str">
        <f>HYPERLINK(".\links\pep\TI-180-pep.txt","TI-180")</f>
        <v>TI-180</v>
      </c>
      <c r="B101">
        <v>180</v>
      </c>
      <c r="C101" t="s">
        <v>9</v>
      </c>
      <c r="D101">
        <v>215</v>
      </c>
      <c r="E101" s="2">
        <v>4.6511630000000004</v>
      </c>
      <c r="F101" t="str">
        <f>HYPERLINK(".\links\cds\TI-180-cds.txt","TI-180")</f>
        <v>TI-180</v>
      </c>
      <c r="G101">
        <v>642</v>
      </c>
      <c r="H101" t="s">
        <v>24</v>
      </c>
      <c r="I101" t="s">
        <v>8</v>
      </c>
      <c r="J101" t="s">
        <v>8</v>
      </c>
      <c r="K101">
        <v>1</v>
      </c>
      <c r="L101">
        <v>0</v>
      </c>
      <c r="M101">
        <f t="shared" si="4"/>
        <v>1</v>
      </c>
      <c r="N101">
        <f t="shared" si="5"/>
        <v>1</v>
      </c>
      <c r="O101" t="s">
        <v>1198</v>
      </c>
      <c r="P101" t="s">
        <v>1178</v>
      </c>
      <c r="Q101" t="str">
        <f>HYPERLINK(".\links\NR-LIGHT\TI-180-NR-LIGHT.txt","NR-LIGHT")</f>
        <v>NR-LIGHT</v>
      </c>
      <c r="R101" s="3">
        <v>7.0000000000000006E-64</v>
      </c>
      <c r="S101">
        <v>66.8</v>
      </c>
      <c r="T101" t="str">
        <f>HYPERLINK(".\links\NR-LIGHT\TI-180-NR-LIGHT.txt","hypothetical protein TcasGA2_TC000274")</f>
        <v>hypothetical protein TcasGA2_TC000274</v>
      </c>
      <c r="U101" t="str">
        <f>HYPERLINK("http://www.ncbi.nlm.nih.gov/sutils/blink.cgi?pid=270001445","7E-064")</f>
        <v>7E-064</v>
      </c>
      <c r="V101" t="str">
        <f>HYPERLINK("http://www.ncbi.nlm.nih.gov/protein/270001445","gi|270001445")</f>
        <v>gi|270001445</v>
      </c>
      <c r="W101">
        <v>245</v>
      </c>
      <c r="X101">
        <v>201</v>
      </c>
      <c r="Y101">
        <v>302</v>
      </c>
      <c r="Z101">
        <v>63</v>
      </c>
      <c r="AA101">
        <v>67</v>
      </c>
      <c r="AB101">
        <v>73</v>
      </c>
      <c r="AC101">
        <v>1</v>
      </c>
      <c r="AD101">
        <v>75</v>
      </c>
      <c r="AE101">
        <v>14</v>
      </c>
      <c r="AF101">
        <v>1</v>
      </c>
      <c r="AG101"/>
      <c r="AH101" t="s">
        <v>13</v>
      </c>
      <c r="AI101" t="s">
        <v>51</v>
      </c>
      <c r="AJ101" t="s">
        <v>266</v>
      </c>
      <c r="AK101" t="str">
        <f>HYPERLINK(".\links\SWISSP\TI-180-SWISSP.txt","Glycine N-acyltransferase-like protein 3 OS=Homo sapiens GN=GLYATL3 PE=2 SV=3")</f>
        <v>Glycine N-acyltransferase-like protein 3 OS=Homo sapiens GN=GLYATL3 PE=2 SV=3</v>
      </c>
      <c r="AL101" t="str">
        <f>HYPERLINK("http://www.uniprot.org/uniprot/Q5SZD4","7E-004")</f>
        <v>7E-004</v>
      </c>
      <c r="AM101" t="s">
        <v>80</v>
      </c>
      <c r="AN101">
        <v>43.9</v>
      </c>
      <c r="AO101">
        <v>87</v>
      </c>
      <c r="AP101">
        <v>288</v>
      </c>
      <c r="AQ101">
        <v>30</v>
      </c>
      <c r="AR101">
        <v>31</v>
      </c>
      <c r="AS101">
        <v>61</v>
      </c>
      <c r="AT101">
        <v>1</v>
      </c>
      <c r="AU101">
        <v>176</v>
      </c>
      <c r="AV101">
        <v>124</v>
      </c>
      <c r="AW101">
        <v>1</v>
      </c>
      <c r="AX101" t="s">
        <v>68</v>
      </c>
      <c r="AY101" t="str">
        <f>HYPERLINK(".\links\PREV-RHOD-PEP\TI-180-PREV-RHOD-PEP.txt","Contig17089_5")</f>
        <v>Contig17089_5</v>
      </c>
      <c r="AZ101" s="3">
        <v>2.9999999999999999E-89</v>
      </c>
      <c r="BA101" t="s">
        <v>1004</v>
      </c>
      <c r="BB101">
        <v>323</v>
      </c>
      <c r="BC101">
        <v>193</v>
      </c>
      <c r="BD101">
        <v>866</v>
      </c>
      <c r="BE101">
        <v>80</v>
      </c>
      <c r="BF101">
        <v>22</v>
      </c>
      <c r="BG101">
        <v>37</v>
      </c>
      <c r="BH101">
        <v>0</v>
      </c>
      <c r="BI101">
        <v>128</v>
      </c>
      <c r="BJ101">
        <v>14</v>
      </c>
      <c r="BK101">
        <v>1</v>
      </c>
      <c r="BL101" t="s">
        <v>415</v>
      </c>
      <c r="BM101">
        <f>HYPERLINK(".\links\GO\TI-180-GO.txt",0.003)</f>
        <v>3.0000000000000001E-3</v>
      </c>
      <c r="BN101" t="s">
        <v>416</v>
      </c>
      <c r="BO101" t="s">
        <v>345</v>
      </c>
      <c r="BP101" t="s">
        <v>346</v>
      </c>
      <c r="BQ101" t="s">
        <v>417</v>
      </c>
      <c r="BR101">
        <v>3.0000000000000001E-3</v>
      </c>
      <c r="BS101" t="s">
        <v>8</v>
      </c>
      <c r="BT101" t="s">
        <v>8</v>
      </c>
      <c r="BU101" t="s">
        <v>8</v>
      </c>
      <c r="BV101" t="s">
        <v>8</v>
      </c>
      <c r="BW101" t="s">
        <v>8</v>
      </c>
      <c r="BX101" t="s">
        <v>418</v>
      </c>
      <c r="BY101" t="s">
        <v>345</v>
      </c>
      <c r="BZ101" t="s">
        <v>346</v>
      </c>
      <c r="CA101" t="s">
        <v>419</v>
      </c>
      <c r="CB101">
        <v>3.0000000000000001E-3</v>
      </c>
      <c r="CC101" t="s">
        <v>8</v>
      </c>
      <c r="CD101"/>
      <c r="CE101"/>
      <c r="CF101" t="s">
        <v>8</v>
      </c>
      <c r="CG101"/>
      <c r="CH101"/>
      <c r="CI101" t="s">
        <v>8</v>
      </c>
      <c r="CJ101"/>
      <c r="CK101" t="s">
        <v>8</v>
      </c>
      <c r="CL101"/>
      <c r="CM101" t="s">
        <v>8</v>
      </c>
      <c r="CN101"/>
      <c r="CO101" t="s">
        <v>8</v>
      </c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 t="s">
        <v>8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</row>
    <row r="102" spans="1:120" s="6" customFormat="1">
      <c r="A102" t="str">
        <f>HYPERLINK(".\links\pep\TI-181-pep.txt","TI-181")</f>
        <v>TI-181</v>
      </c>
      <c r="B102">
        <v>181</v>
      </c>
      <c r="C102" t="s">
        <v>7</v>
      </c>
      <c r="D102">
        <v>99</v>
      </c>
      <c r="E102">
        <v>0</v>
      </c>
      <c r="F102" t="str">
        <f>HYPERLINK(".\links\cds\TI-181-cds.txt","TI-181")</f>
        <v>TI-181</v>
      </c>
      <c r="G102">
        <v>300</v>
      </c>
      <c r="H102"/>
      <c r="I102" t="s">
        <v>29</v>
      </c>
      <c r="J102" t="s">
        <v>6</v>
      </c>
      <c r="K102">
        <v>1</v>
      </c>
      <c r="L102">
        <v>0</v>
      </c>
      <c r="M102">
        <f t="shared" si="4"/>
        <v>1</v>
      </c>
      <c r="N102">
        <f t="shared" si="5"/>
        <v>1</v>
      </c>
      <c r="O102" t="s">
        <v>1287</v>
      </c>
      <c r="P102" t="s">
        <v>1178</v>
      </c>
      <c r="Q102" t="str">
        <f>HYPERLINK(".\links\NR-LIGHT\TI-181-NR-LIGHT.txt","NR-LIGHT")</f>
        <v>NR-LIGHT</v>
      </c>
      <c r="R102" s="3">
        <v>4.0000000000000002E-22</v>
      </c>
      <c r="S102">
        <v>69.2</v>
      </c>
      <c r="T102" t="str">
        <f>HYPERLINK(".\links\NR-LIGHT\TI-181-NR-LIGHT.txt","similar to mitochondrial NADH:ubiquinone oxidoreductase ESSS subunit, putative")</f>
        <v>similar to mitochondrial NADH:ubiquinone oxidoreductase ESSS subunit, putative</v>
      </c>
      <c r="U102" t="str">
        <f>HYPERLINK("http://www.ncbi.nlm.nih.gov/sutils/blink.cgi?pid=91090522","4E-022")</f>
        <v>4E-022</v>
      </c>
      <c r="V102" t="str">
        <f>HYPERLINK("http://www.ncbi.nlm.nih.gov/protein/91090522","gi|91090522")</f>
        <v>gi|91090522</v>
      </c>
      <c r="W102">
        <v>105</v>
      </c>
      <c r="X102">
        <v>96</v>
      </c>
      <c r="Y102">
        <v>140</v>
      </c>
      <c r="Z102">
        <v>51</v>
      </c>
      <c r="AA102">
        <v>69</v>
      </c>
      <c r="AB102">
        <v>47</v>
      </c>
      <c r="AC102">
        <v>0</v>
      </c>
      <c r="AD102">
        <v>44</v>
      </c>
      <c r="AE102">
        <v>3</v>
      </c>
      <c r="AF102">
        <v>1</v>
      </c>
      <c r="AG102"/>
      <c r="AH102" t="s">
        <v>13</v>
      </c>
      <c r="AI102" t="s">
        <v>51</v>
      </c>
      <c r="AJ102" t="s">
        <v>266</v>
      </c>
      <c r="AK102" t="s">
        <v>8</v>
      </c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t="str">
        <f>HYPERLINK(".\links\PREV-RHOD-PEP\TI-181-PREV-RHOD-PEP.txt","Contig16086_9")</f>
        <v>Contig16086_9</v>
      </c>
      <c r="AZ102" s="3">
        <v>7E-39</v>
      </c>
      <c r="BA102" t="s">
        <v>1070</v>
      </c>
      <c r="BB102">
        <v>155</v>
      </c>
      <c r="BC102">
        <v>96</v>
      </c>
      <c r="BD102">
        <v>149</v>
      </c>
      <c r="BE102">
        <v>74</v>
      </c>
      <c r="BF102">
        <v>65</v>
      </c>
      <c r="BG102">
        <v>25</v>
      </c>
      <c r="BH102">
        <v>0</v>
      </c>
      <c r="BI102">
        <v>53</v>
      </c>
      <c r="BJ102">
        <v>3</v>
      </c>
      <c r="BK102">
        <v>1</v>
      </c>
      <c r="BL102" t="s">
        <v>667</v>
      </c>
      <c r="BM102">
        <f>HYPERLINK(".\links\GO\TI-181-GO.txt",4E-20)</f>
        <v>3.9999999999999998E-20</v>
      </c>
      <c r="BN102" t="s">
        <v>373</v>
      </c>
      <c r="BO102" t="s">
        <v>373</v>
      </c>
      <c r="BP102"/>
      <c r="BQ102" t="s">
        <v>374</v>
      </c>
      <c r="BR102" s="3">
        <v>3.9999999999999998E-20</v>
      </c>
      <c r="BS102" t="s">
        <v>375</v>
      </c>
      <c r="BT102" t="s">
        <v>375</v>
      </c>
      <c r="BU102"/>
      <c r="BV102" t="s">
        <v>376</v>
      </c>
      <c r="BW102" s="3">
        <v>3.9999999999999998E-20</v>
      </c>
      <c r="BX102" t="s">
        <v>380</v>
      </c>
      <c r="BY102" t="s">
        <v>373</v>
      </c>
      <c r="BZ102"/>
      <c r="CA102" t="s">
        <v>381</v>
      </c>
      <c r="CB102" s="3">
        <v>3.9999999999999998E-20</v>
      </c>
      <c r="CC102" t="s">
        <v>8</v>
      </c>
      <c r="CD102"/>
      <c r="CE102"/>
      <c r="CF102" t="s">
        <v>8</v>
      </c>
      <c r="CG102"/>
      <c r="CH102"/>
      <c r="CI102" t="s">
        <v>8</v>
      </c>
      <c r="CJ102"/>
      <c r="CK102" t="s">
        <v>8</v>
      </c>
      <c r="CL102"/>
      <c r="CM102" t="s">
        <v>8</v>
      </c>
      <c r="CN102"/>
      <c r="CO102" t="s">
        <v>8</v>
      </c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 t="s">
        <v>8</v>
      </c>
      <c r="DD102"/>
      <c r="DE102"/>
      <c r="DF102"/>
      <c r="DG102"/>
      <c r="DH102"/>
      <c r="DI102"/>
      <c r="DJ102"/>
      <c r="DK102"/>
      <c r="DL102"/>
      <c r="DM102"/>
      <c r="DN102"/>
      <c r="DO102"/>
      <c r="DP102"/>
    </row>
    <row r="103" spans="1:120" s="6" customFormat="1">
      <c r="A103" t="str">
        <f>HYPERLINK(".\links\pep\TI-182-pep.txt","TI-182")</f>
        <v>TI-182</v>
      </c>
      <c r="B103">
        <v>182</v>
      </c>
      <c r="C103" t="s">
        <v>7</v>
      </c>
      <c r="D103">
        <v>169</v>
      </c>
      <c r="E103">
        <v>0</v>
      </c>
      <c r="F103" t="str">
        <f>HYPERLINK(".\links\cds\TI-182-cds.txt","TI-182")</f>
        <v>TI-182</v>
      </c>
      <c r="G103">
        <v>510</v>
      </c>
      <c r="H103"/>
      <c r="I103" t="s">
        <v>29</v>
      </c>
      <c r="J103" t="s">
        <v>6</v>
      </c>
      <c r="K103">
        <v>2</v>
      </c>
      <c r="L103">
        <v>0</v>
      </c>
      <c r="M103">
        <f t="shared" si="4"/>
        <v>2</v>
      </c>
      <c r="N103">
        <f t="shared" si="5"/>
        <v>2</v>
      </c>
      <c r="O103" t="s">
        <v>1199</v>
      </c>
      <c r="P103" t="s">
        <v>1181</v>
      </c>
      <c r="Q103" t="str">
        <f>HYPERLINK(".\links\NR-LIGHT\TI-182-NR-LIGHT.txt","NR-LIGHT")</f>
        <v>NR-LIGHT</v>
      </c>
      <c r="R103" s="3">
        <v>3.9999999999999998E-82</v>
      </c>
      <c r="S103">
        <v>100</v>
      </c>
      <c r="T103" t="str">
        <f>HYPERLINK(".\links\NR-LIGHT\TI-182-NR-LIGHT.txt","tubulin polymerization promoting protein")</f>
        <v>tubulin polymerization promoting protein</v>
      </c>
      <c r="U103" t="str">
        <f>HYPERLINK("http://www.ncbi.nlm.nih.gov/sutils/blink.cgi?pid=307095196","4E-082")</f>
        <v>4E-082</v>
      </c>
      <c r="V103" t="str">
        <f>HYPERLINK("http://www.ncbi.nlm.nih.gov/protein/307095196","gi|307095196")</f>
        <v>gi|307095196</v>
      </c>
      <c r="W103">
        <v>305</v>
      </c>
      <c r="X103">
        <v>165</v>
      </c>
      <c r="Y103">
        <v>166</v>
      </c>
      <c r="Z103">
        <v>91</v>
      </c>
      <c r="AA103">
        <v>100</v>
      </c>
      <c r="AB103">
        <v>14</v>
      </c>
      <c r="AC103">
        <v>0</v>
      </c>
      <c r="AD103">
        <v>1</v>
      </c>
      <c r="AE103">
        <v>4</v>
      </c>
      <c r="AF103">
        <v>1</v>
      </c>
      <c r="AG103"/>
      <c r="AH103" t="s">
        <v>13</v>
      </c>
      <c r="AI103" t="s">
        <v>51</v>
      </c>
      <c r="AJ103" t="s">
        <v>278</v>
      </c>
      <c r="AK103" t="str">
        <f>HYPERLINK(".\links\SWISSP\TI-182-SWISSP.txt","TPPP family protein CG4893 OS=Drosophila melanogaster GN=CG4893 PE=2 SV=1")</f>
        <v>TPPP family protein CG4893 OS=Drosophila melanogaster GN=CG4893 PE=2 SV=1</v>
      </c>
      <c r="AL103" t="str">
        <f>HYPERLINK("http://www.uniprot.org/uniprot/Q9VV43","3E-051")</f>
        <v>3E-051</v>
      </c>
      <c r="AM103" t="s">
        <v>155</v>
      </c>
      <c r="AN103">
        <v>200</v>
      </c>
      <c r="AO103">
        <v>144</v>
      </c>
      <c r="AP103">
        <v>192</v>
      </c>
      <c r="AQ103">
        <v>67</v>
      </c>
      <c r="AR103">
        <v>76</v>
      </c>
      <c r="AS103">
        <v>48</v>
      </c>
      <c r="AT103">
        <v>2</v>
      </c>
      <c r="AU103">
        <v>48</v>
      </c>
      <c r="AV103">
        <v>20</v>
      </c>
      <c r="AW103">
        <v>1</v>
      </c>
      <c r="AX103" t="s">
        <v>52</v>
      </c>
      <c r="AY103" t="str">
        <f>HYPERLINK(".\links\PREV-RHOD-PEP\TI-182-PREV-RHOD-PEP.txt","Contig17878_69")</f>
        <v>Contig17878_69</v>
      </c>
      <c r="AZ103" s="3">
        <v>6.0000000000000001E-28</v>
      </c>
      <c r="BA103" t="s">
        <v>1071</v>
      </c>
      <c r="BB103">
        <v>119</v>
      </c>
      <c r="BC103">
        <v>68</v>
      </c>
      <c r="BD103">
        <v>315</v>
      </c>
      <c r="BE103">
        <v>79</v>
      </c>
      <c r="BF103">
        <v>22</v>
      </c>
      <c r="BG103">
        <v>14</v>
      </c>
      <c r="BH103">
        <v>0</v>
      </c>
      <c r="BI103">
        <v>247</v>
      </c>
      <c r="BJ103">
        <v>101</v>
      </c>
      <c r="BK103">
        <v>1</v>
      </c>
      <c r="BL103" t="s">
        <v>668</v>
      </c>
      <c r="BM103">
        <f>HYPERLINK(".\links\GO\TI-182-GO.txt",9E-52)</f>
        <v>9.0000000000000001E-52</v>
      </c>
      <c r="BN103" t="s">
        <v>373</v>
      </c>
      <c r="BO103" t="s">
        <v>373</v>
      </c>
      <c r="BP103"/>
      <c r="BQ103" t="s">
        <v>374</v>
      </c>
      <c r="BR103" s="3">
        <v>9.0000000000000001E-52</v>
      </c>
      <c r="BS103" t="s">
        <v>375</v>
      </c>
      <c r="BT103" t="s">
        <v>375</v>
      </c>
      <c r="BU103"/>
      <c r="BV103" t="s">
        <v>376</v>
      </c>
      <c r="BW103" s="3">
        <v>9.0000000000000001E-52</v>
      </c>
      <c r="BX103" t="s">
        <v>380</v>
      </c>
      <c r="BY103" t="s">
        <v>373</v>
      </c>
      <c r="BZ103"/>
      <c r="CA103" t="s">
        <v>381</v>
      </c>
      <c r="CB103" s="3">
        <v>9.0000000000000001E-52</v>
      </c>
      <c r="CC103" t="s">
        <v>8</v>
      </c>
      <c r="CD103"/>
      <c r="CE103"/>
      <c r="CF103" t="s">
        <v>8</v>
      </c>
      <c r="CG103"/>
      <c r="CH103"/>
      <c r="CI103" t="s">
        <v>8</v>
      </c>
      <c r="CJ103"/>
      <c r="CK103" t="s">
        <v>8</v>
      </c>
      <c r="CL103"/>
      <c r="CM103" t="s">
        <v>8</v>
      </c>
      <c r="CN103"/>
      <c r="CO103" t="s">
        <v>8</v>
      </c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 t="s">
        <v>8</v>
      </c>
      <c r="DD103"/>
      <c r="DE103"/>
      <c r="DF103"/>
      <c r="DG103"/>
      <c r="DH103"/>
      <c r="DI103"/>
      <c r="DJ103"/>
      <c r="DK103"/>
      <c r="DL103"/>
      <c r="DM103"/>
      <c r="DN103"/>
      <c r="DO103"/>
      <c r="DP103"/>
    </row>
    <row r="104" spans="1:120" s="6" customFormat="1">
      <c r="A104" t="str">
        <f>HYPERLINK(".\links\pep\TI-183-pep.txt","TI-183")</f>
        <v>TI-183</v>
      </c>
      <c r="B104">
        <v>183</v>
      </c>
      <c r="C104" t="s">
        <v>19</v>
      </c>
      <c r="D104">
        <v>195</v>
      </c>
      <c r="E104" s="2">
        <v>1.538462</v>
      </c>
      <c r="F104" t="str">
        <f>HYPERLINK(".\links\cds\TI-183-cds.txt","TI-183")</f>
        <v>TI-183</v>
      </c>
      <c r="G104">
        <v>588</v>
      </c>
      <c r="H104"/>
      <c r="I104" t="s">
        <v>8</v>
      </c>
      <c r="J104" t="s">
        <v>6</v>
      </c>
      <c r="K104">
        <v>2</v>
      </c>
      <c r="L104">
        <v>0</v>
      </c>
      <c r="M104">
        <f t="shared" si="4"/>
        <v>2</v>
      </c>
      <c r="N104">
        <f t="shared" si="5"/>
        <v>2</v>
      </c>
      <c r="O104" t="s">
        <v>1174</v>
      </c>
      <c r="P104" t="s">
        <v>1175</v>
      </c>
      <c r="Q104" t="str">
        <f>HYPERLINK(".\links\NR-LIGHT\TI-183-NR-LIGHT.txt","NR-LIGHT")</f>
        <v>NR-LIGHT</v>
      </c>
      <c r="R104" s="3">
        <v>9.9999999999999994E-50</v>
      </c>
      <c r="S104">
        <v>50.2</v>
      </c>
      <c r="T104" t="str">
        <f>HYPERLINK(".\links\NR-LIGHT\TI-183-NR-LIGHT.txt","cathepsin D")</f>
        <v>cathepsin D</v>
      </c>
      <c r="U104" t="str">
        <f>HYPERLINK("http://www.ncbi.nlm.nih.gov/sutils/blink.cgi?pid=301030231","1E-049")</f>
        <v>1E-049</v>
      </c>
      <c r="V104" t="str">
        <f>HYPERLINK("http://www.ncbi.nlm.nih.gov/protein/301030231","gi|301030231")</f>
        <v>gi|301030231</v>
      </c>
      <c r="W104">
        <v>197</v>
      </c>
      <c r="X104">
        <v>195</v>
      </c>
      <c r="Y104">
        <v>390</v>
      </c>
      <c r="Z104">
        <v>47</v>
      </c>
      <c r="AA104">
        <v>50</v>
      </c>
      <c r="AB104">
        <v>102</v>
      </c>
      <c r="AC104">
        <v>2</v>
      </c>
      <c r="AD104">
        <v>192</v>
      </c>
      <c r="AE104">
        <v>1</v>
      </c>
      <c r="AF104">
        <v>1</v>
      </c>
      <c r="AG104"/>
      <c r="AH104" t="s">
        <v>13</v>
      </c>
      <c r="AI104" t="s">
        <v>51</v>
      </c>
      <c r="AJ104" t="s">
        <v>273</v>
      </c>
      <c r="AK104" t="str">
        <f>HYPERLINK(".\links\SWISSP\TI-183-SWISSP.txt","Lysosomal aspartic protease OS=Aedes aegypti GN=AAEL006169 PE=1 SV=2")</f>
        <v>Lysosomal aspartic protease OS=Aedes aegypti GN=AAEL006169 PE=1 SV=2</v>
      </c>
      <c r="AL104" t="str">
        <f>HYPERLINK("http://www.uniprot.org/uniprot/Q03168","6E-036")</f>
        <v>6E-036</v>
      </c>
      <c r="AM104" t="s">
        <v>103</v>
      </c>
      <c r="AN104">
        <v>150</v>
      </c>
      <c r="AO104">
        <v>192</v>
      </c>
      <c r="AP104">
        <v>387</v>
      </c>
      <c r="AQ104">
        <v>41</v>
      </c>
      <c r="AR104">
        <v>50</v>
      </c>
      <c r="AS104">
        <v>115</v>
      </c>
      <c r="AT104">
        <v>5</v>
      </c>
      <c r="AU104">
        <v>191</v>
      </c>
      <c r="AV104">
        <v>1</v>
      </c>
      <c r="AW104">
        <v>1</v>
      </c>
      <c r="AX104" t="s">
        <v>76</v>
      </c>
      <c r="AY104" t="str">
        <f>HYPERLINK(".\links\PREV-RHOD-PEP\TI-183-PREV-RHOD-PEP.txt","Contig808_3")</f>
        <v>Contig808_3</v>
      </c>
      <c r="AZ104" s="3">
        <v>9.0000000000000002E-64</v>
      </c>
      <c r="BA104" t="s">
        <v>1019</v>
      </c>
      <c r="BB104">
        <v>238</v>
      </c>
      <c r="BC104">
        <v>191</v>
      </c>
      <c r="BD104">
        <v>383</v>
      </c>
      <c r="BE104">
        <v>60</v>
      </c>
      <c r="BF104">
        <v>50</v>
      </c>
      <c r="BG104">
        <v>78</v>
      </c>
      <c r="BH104">
        <v>6</v>
      </c>
      <c r="BI104">
        <v>188</v>
      </c>
      <c r="BJ104">
        <v>1</v>
      </c>
      <c r="BK104">
        <v>1</v>
      </c>
      <c r="BL104" t="s">
        <v>492</v>
      </c>
      <c r="BM104">
        <f>HYPERLINK(".\links\GO\TI-183-GO.txt",1E-34)</f>
        <v>9.9999999999999993E-35</v>
      </c>
      <c r="BN104" t="s">
        <v>455</v>
      </c>
      <c r="BO104" t="s">
        <v>345</v>
      </c>
      <c r="BP104" t="s">
        <v>349</v>
      </c>
      <c r="BQ104" t="s">
        <v>456</v>
      </c>
      <c r="BR104" s="3">
        <v>5.0000000000000004E-31</v>
      </c>
      <c r="BS104" t="s">
        <v>493</v>
      </c>
      <c r="BT104" t="s">
        <v>323</v>
      </c>
      <c r="BU104" t="s">
        <v>334</v>
      </c>
      <c r="BV104" t="s">
        <v>494</v>
      </c>
      <c r="BW104" s="3">
        <v>5.0000000000000004E-31</v>
      </c>
      <c r="BX104" t="s">
        <v>495</v>
      </c>
      <c r="BY104" t="s">
        <v>345</v>
      </c>
      <c r="BZ104" t="s">
        <v>349</v>
      </c>
      <c r="CA104" t="s">
        <v>496</v>
      </c>
      <c r="CB104" s="3">
        <v>5.0000000000000004E-31</v>
      </c>
      <c r="CC104" t="s">
        <v>8</v>
      </c>
      <c r="CD104"/>
      <c r="CE104"/>
      <c r="CF104" t="s">
        <v>8</v>
      </c>
      <c r="CG104"/>
      <c r="CH104"/>
      <c r="CI104" t="s">
        <v>8</v>
      </c>
      <c r="CJ104"/>
      <c r="CK104" t="s">
        <v>8</v>
      </c>
      <c r="CL104"/>
      <c r="CM104" t="s">
        <v>8</v>
      </c>
      <c r="CN104"/>
      <c r="CO104" t="s">
        <v>8</v>
      </c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 t="s">
        <v>8</v>
      </c>
      <c r="DD104"/>
      <c r="DE104"/>
      <c r="DF104"/>
      <c r="DG104"/>
      <c r="DH104"/>
      <c r="DI104"/>
      <c r="DJ104"/>
      <c r="DK104"/>
      <c r="DL104"/>
      <c r="DM104"/>
      <c r="DN104"/>
      <c r="DO104"/>
      <c r="DP104"/>
    </row>
    <row r="105" spans="1:120" s="6" customFormat="1">
      <c r="A105" t="str">
        <f>HYPERLINK(".\links\pep\TI-184-pep.txt","TI-184")</f>
        <v>TI-184</v>
      </c>
      <c r="B105">
        <v>184</v>
      </c>
      <c r="C105" t="s">
        <v>27</v>
      </c>
      <c r="D105">
        <v>147</v>
      </c>
      <c r="E105">
        <v>0</v>
      </c>
      <c r="F105" t="str">
        <f>HYPERLINK(".\links\cds\TI-184-cds.txt","TI-184")</f>
        <v>TI-184</v>
      </c>
      <c r="G105">
        <v>440</v>
      </c>
      <c r="H105"/>
      <c r="I105" t="s">
        <v>8</v>
      </c>
      <c r="J105" t="s">
        <v>8</v>
      </c>
      <c r="K105">
        <v>2</v>
      </c>
      <c r="L105">
        <v>0</v>
      </c>
      <c r="M105">
        <f t="shared" si="4"/>
        <v>2</v>
      </c>
      <c r="N105">
        <f t="shared" si="5"/>
        <v>2</v>
      </c>
      <c r="O105" t="s">
        <v>1288</v>
      </c>
      <c r="P105" t="s">
        <v>1197</v>
      </c>
      <c r="Q105" t="str">
        <f>HYPERLINK(".\links\GO\TI-184-GO.txt","GO")</f>
        <v>GO</v>
      </c>
      <c r="R105">
        <v>2.9999999999999999E-7</v>
      </c>
      <c r="S105">
        <v>14.7</v>
      </c>
      <c r="T105" t="str">
        <f>HYPERLINK(".\links\NR-LIGHT\TI-184-NR-LIGHT.txt","J domain-containing protein C21orf55, putative")</f>
        <v>J domain-containing protein C21orf55, putative</v>
      </c>
      <c r="U105" t="str">
        <f>HYPERLINK("http://www.ncbi.nlm.nih.gov/sutils/blink.cgi?pid=242018813","3E-032")</f>
        <v>3E-032</v>
      </c>
      <c r="V105" t="str">
        <f>HYPERLINK("http://www.ncbi.nlm.nih.gov/protein/242018813","gi|242018813")</f>
        <v>gi|242018813</v>
      </c>
      <c r="W105">
        <v>139</v>
      </c>
      <c r="X105">
        <v>113</v>
      </c>
      <c r="Y105">
        <v>367</v>
      </c>
      <c r="Z105">
        <v>60</v>
      </c>
      <c r="AA105">
        <v>31</v>
      </c>
      <c r="AB105">
        <v>45</v>
      </c>
      <c r="AC105">
        <v>4</v>
      </c>
      <c r="AD105">
        <v>33</v>
      </c>
      <c r="AE105">
        <v>38</v>
      </c>
      <c r="AF105">
        <v>1</v>
      </c>
      <c r="AG105"/>
      <c r="AH105" t="s">
        <v>13</v>
      </c>
      <c r="AI105" t="s">
        <v>51</v>
      </c>
      <c r="AJ105" t="s">
        <v>268</v>
      </c>
      <c r="AK105" t="str">
        <f>HYPERLINK(".\links\SWISSP\TI-184-SWISSP.txt","DnaJ homolog subfamily C member 28 OS=Homo sapiens GN=DNAJC28 PE=1 SV=2")</f>
        <v>DnaJ homolog subfamily C member 28 OS=Homo sapiens GN=DNAJC28 PE=1 SV=2</v>
      </c>
      <c r="AL105" t="str">
        <f>HYPERLINK("http://www.uniprot.org/uniprot/Q9NX36","2E-015")</f>
        <v>2E-015</v>
      </c>
      <c r="AM105" t="s">
        <v>156</v>
      </c>
      <c r="AN105">
        <v>80.900000000000006</v>
      </c>
      <c r="AO105">
        <v>106</v>
      </c>
      <c r="AP105">
        <v>388</v>
      </c>
      <c r="AQ105">
        <v>38</v>
      </c>
      <c r="AR105">
        <v>28</v>
      </c>
      <c r="AS105">
        <v>70</v>
      </c>
      <c r="AT105">
        <v>6</v>
      </c>
      <c r="AU105">
        <v>45</v>
      </c>
      <c r="AV105">
        <v>35</v>
      </c>
      <c r="AW105">
        <v>1</v>
      </c>
      <c r="AX105" t="s">
        <v>68</v>
      </c>
      <c r="AY105" t="str">
        <f>HYPERLINK(".\links\PREV-RHOD-PEP\TI-184-PREV-RHOD-PEP.txt","Contig4177_3")</f>
        <v>Contig4177_3</v>
      </c>
      <c r="AZ105" s="3">
        <v>1.9999999999999998E-65</v>
      </c>
      <c r="BA105" t="s">
        <v>1072</v>
      </c>
      <c r="BB105">
        <v>243</v>
      </c>
      <c r="BC105">
        <v>144</v>
      </c>
      <c r="BD105">
        <v>286</v>
      </c>
      <c r="BE105">
        <v>80</v>
      </c>
      <c r="BF105">
        <v>51</v>
      </c>
      <c r="BG105">
        <v>28</v>
      </c>
      <c r="BH105">
        <v>1</v>
      </c>
      <c r="BI105">
        <v>1</v>
      </c>
      <c r="BJ105">
        <v>2</v>
      </c>
      <c r="BK105">
        <v>1</v>
      </c>
      <c r="BL105" t="s">
        <v>669</v>
      </c>
      <c r="BM105">
        <f>HYPERLINK(".\links\GO\TI-184-GO.txt",0.00000007)</f>
        <v>7.0000000000000005E-8</v>
      </c>
      <c r="BN105" t="s">
        <v>670</v>
      </c>
      <c r="BO105" t="s">
        <v>463</v>
      </c>
      <c r="BP105" t="s">
        <v>464</v>
      </c>
      <c r="BQ105" t="s">
        <v>671</v>
      </c>
      <c r="BR105">
        <v>2.9999999999999999E-7</v>
      </c>
      <c r="BS105" t="s">
        <v>447</v>
      </c>
      <c r="BT105" t="s">
        <v>323</v>
      </c>
      <c r="BU105" t="s">
        <v>334</v>
      </c>
      <c r="BV105" t="s">
        <v>448</v>
      </c>
      <c r="BW105">
        <v>2.9999999999999999E-7</v>
      </c>
      <c r="BX105" t="s">
        <v>672</v>
      </c>
      <c r="BY105" t="s">
        <v>463</v>
      </c>
      <c r="BZ105" t="s">
        <v>464</v>
      </c>
      <c r="CA105" t="s">
        <v>673</v>
      </c>
      <c r="CB105">
        <v>2.9999999999999999E-7</v>
      </c>
      <c r="CC105" t="s">
        <v>8</v>
      </c>
      <c r="CD105"/>
      <c r="CE105"/>
      <c r="CF105" t="s">
        <v>8</v>
      </c>
      <c r="CG105"/>
      <c r="CH105"/>
      <c r="CI105" t="s">
        <v>8</v>
      </c>
      <c r="CJ105"/>
      <c r="CK105" t="s">
        <v>8</v>
      </c>
      <c r="CL105"/>
      <c r="CM105" t="s">
        <v>8</v>
      </c>
      <c r="CN105"/>
      <c r="CO105" t="s">
        <v>8</v>
      </c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 t="s">
        <v>8</v>
      </c>
      <c r="DD105"/>
      <c r="DE105"/>
      <c r="DF105"/>
      <c r="DG105"/>
      <c r="DH105"/>
      <c r="DI105"/>
      <c r="DJ105"/>
      <c r="DK105"/>
      <c r="DL105"/>
      <c r="DM105"/>
      <c r="DN105"/>
      <c r="DO105"/>
      <c r="DP105"/>
    </row>
    <row r="106" spans="1:120" s="6" customFormat="1">
      <c r="A106" s="6" t="str">
        <f>HYPERLINK(".\links\pep\TI-185-pep.txt","TI-185")</f>
        <v>TI-185</v>
      </c>
      <c r="B106" s="6">
        <v>185</v>
      </c>
      <c r="C106" s="6" t="s">
        <v>12</v>
      </c>
      <c r="D106" s="6">
        <v>49</v>
      </c>
      <c r="E106" s="7">
        <v>2.040816</v>
      </c>
      <c r="F106" s="6" t="str">
        <f>HYPERLINK(".\links\cds\TI-185-cds.txt","TI-185")</f>
        <v>TI-185</v>
      </c>
      <c r="G106" s="6">
        <v>146</v>
      </c>
      <c r="I106" s="6" t="s">
        <v>8</v>
      </c>
      <c r="J106" s="6" t="s">
        <v>8</v>
      </c>
      <c r="K106" s="6">
        <v>0</v>
      </c>
      <c r="L106" s="6">
        <v>1</v>
      </c>
      <c r="M106" s="6">
        <f t="shared" si="4"/>
        <v>-1</v>
      </c>
      <c r="N106" s="6">
        <f t="shared" si="5"/>
        <v>1</v>
      </c>
      <c r="O106" s="6" t="s">
        <v>1170</v>
      </c>
      <c r="P106" s="6" t="s">
        <v>1171</v>
      </c>
      <c r="T106" s="6" t="s">
        <v>8</v>
      </c>
      <c r="AK106" s="6" t="s">
        <v>8</v>
      </c>
      <c r="AY106" s="6" t="s">
        <v>8</v>
      </c>
      <c r="BL106" s="6" t="s">
        <v>8</v>
      </c>
      <c r="CC106" s="6" t="s">
        <v>8</v>
      </c>
      <c r="CF106" s="6" t="s">
        <v>8</v>
      </c>
      <c r="CI106" s="6" t="s">
        <v>8</v>
      </c>
      <c r="CK106" s="6" t="s">
        <v>8</v>
      </c>
      <c r="CM106" s="6" t="s">
        <v>8</v>
      </c>
      <c r="CO106" s="6" t="s">
        <v>8</v>
      </c>
      <c r="DC106" s="6" t="s">
        <v>8</v>
      </c>
    </row>
    <row r="107" spans="1:120" s="6" customFormat="1">
      <c r="A107" s="6" t="str">
        <f>HYPERLINK(".\links\pep\TI-186-pep.txt","TI-186")</f>
        <v>TI-186</v>
      </c>
      <c r="B107" s="6">
        <v>186</v>
      </c>
      <c r="C107" s="6" t="s">
        <v>10</v>
      </c>
      <c r="D107" s="6">
        <v>19</v>
      </c>
      <c r="E107" s="6">
        <v>0</v>
      </c>
      <c r="F107" s="6" t="str">
        <f>HYPERLINK(".\links\cds\TI-186-cds.txt","TI-186")</f>
        <v>TI-186</v>
      </c>
      <c r="G107" s="6">
        <v>60</v>
      </c>
      <c r="I107" s="6" t="s">
        <v>8</v>
      </c>
      <c r="J107" s="6" t="s">
        <v>6</v>
      </c>
      <c r="K107" s="6">
        <v>0</v>
      </c>
      <c r="L107" s="6">
        <v>1</v>
      </c>
      <c r="M107" s="6">
        <f t="shared" si="4"/>
        <v>-1</v>
      </c>
      <c r="N107" s="6">
        <f t="shared" si="5"/>
        <v>1</v>
      </c>
      <c r="O107" s="6" t="s">
        <v>1170</v>
      </c>
      <c r="P107" s="6" t="s">
        <v>1171</v>
      </c>
      <c r="T107" s="6" t="s">
        <v>8</v>
      </c>
      <c r="AK107" s="6" t="s">
        <v>8</v>
      </c>
      <c r="AY107" s="6" t="s">
        <v>8</v>
      </c>
      <c r="BL107" s="6" t="s">
        <v>8</v>
      </c>
      <c r="CC107" s="6" t="s">
        <v>8</v>
      </c>
      <c r="CF107" s="6" t="s">
        <v>8</v>
      </c>
      <c r="CI107" s="6" t="s">
        <v>8</v>
      </c>
      <c r="CK107" s="6" t="s">
        <v>8</v>
      </c>
      <c r="CM107" s="6" t="s">
        <v>8</v>
      </c>
      <c r="CO107" s="6" t="s">
        <v>8</v>
      </c>
      <c r="DC107" s="6" t="s">
        <v>8</v>
      </c>
    </row>
    <row r="108" spans="1:120" s="6" customFormat="1">
      <c r="A108" t="str">
        <f>HYPERLINK(".\links\pep\TI-187-pep.txt","TI-187")</f>
        <v>TI-187</v>
      </c>
      <c r="B108">
        <v>187</v>
      </c>
      <c r="C108" t="s">
        <v>7</v>
      </c>
      <c r="D108">
        <v>174</v>
      </c>
      <c r="E108">
        <v>0</v>
      </c>
      <c r="F108" t="str">
        <f>HYPERLINK(".\links\cds\TI-187-cds.txt","TI-187")</f>
        <v>TI-187</v>
      </c>
      <c r="G108">
        <v>525</v>
      </c>
      <c r="H108"/>
      <c r="I108" t="s">
        <v>29</v>
      </c>
      <c r="J108" t="s">
        <v>6</v>
      </c>
      <c r="K108">
        <v>0</v>
      </c>
      <c r="L108">
        <v>2</v>
      </c>
      <c r="M108">
        <f t="shared" si="4"/>
        <v>-2</v>
      </c>
      <c r="N108">
        <f t="shared" si="5"/>
        <v>2</v>
      </c>
      <c r="O108" t="s">
        <v>1289</v>
      </c>
      <c r="P108" t="s">
        <v>1181</v>
      </c>
      <c r="Q108" t="str">
        <f>HYPERLINK(".\links\NR-LIGHT\TI-187-NR-LIGHT.txt","NR-LIGHT")</f>
        <v>NR-LIGHT</v>
      </c>
      <c r="R108" s="3">
        <v>9.9999999999999996E-81</v>
      </c>
      <c r="S108">
        <v>83.6</v>
      </c>
      <c r="T108" t="str">
        <f>HYPERLINK(".\links\NR-LIGHT\TI-187-NR-LIGHT.txt","myosin regulatory light chain 2 smooth muscle")</f>
        <v>myosin regulatory light chain 2 smooth muscle</v>
      </c>
      <c r="U108" t="str">
        <f>HYPERLINK("http://www.ncbi.nlm.nih.gov/sutils/blink.cgi?pid=157120145","1E-080")</f>
        <v>1E-080</v>
      </c>
      <c r="V108" t="str">
        <f>HYPERLINK("http://www.ncbi.nlm.nih.gov/protein/157120145","gi|157120145")</f>
        <v>gi|157120145</v>
      </c>
      <c r="W108">
        <v>300</v>
      </c>
      <c r="X108">
        <v>173</v>
      </c>
      <c r="Y108">
        <v>208</v>
      </c>
      <c r="Z108">
        <v>82</v>
      </c>
      <c r="AA108">
        <v>84</v>
      </c>
      <c r="AB108">
        <v>30</v>
      </c>
      <c r="AC108">
        <v>0</v>
      </c>
      <c r="AD108">
        <v>1</v>
      </c>
      <c r="AE108">
        <v>1</v>
      </c>
      <c r="AF108">
        <v>1</v>
      </c>
      <c r="AG108"/>
      <c r="AH108" t="s">
        <v>13</v>
      </c>
      <c r="AI108" t="s">
        <v>51</v>
      </c>
      <c r="AJ108" t="s">
        <v>76</v>
      </c>
      <c r="AK108" t="str">
        <f>HYPERLINK(".\links\SWISSP\TI-187-SWISSP.txt","Myosin regulatory light chain sqh OS=Drosophila melanogaster GN=sqh PE=1 SV=1")</f>
        <v>Myosin regulatory light chain sqh OS=Drosophila melanogaster GN=sqh PE=1 SV=1</v>
      </c>
      <c r="AL108" t="str">
        <f>HYPERLINK("http://www.uniprot.org/uniprot/P40423","2E-078")</f>
        <v>2E-078</v>
      </c>
      <c r="AM108" t="s">
        <v>157</v>
      </c>
      <c r="AN108">
        <v>291</v>
      </c>
      <c r="AO108">
        <v>173</v>
      </c>
      <c r="AP108">
        <v>174</v>
      </c>
      <c r="AQ108">
        <v>80</v>
      </c>
      <c r="AR108">
        <v>100</v>
      </c>
      <c r="AS108">
        <v>34</v>
      </c>
      <c r="AT108">
        <v>0</v>
      </c>
      <c r="AU108">
        <v>1</v>
      </c>
      <c r="AV108">
        <v>1</v>
      </c>
      <c r="AW108">
        <v>1</v>
      </c>
      <c r="AX108" t="s">
        <v>52</v>
      </c>
      <c r="AY108" t="str">
        <f>HYPERLINK(".\links\PREV-RHOD-PEP\TI-187-PREV-RHOD-PEP.txt","Contig17965_34")</f>
        <v>Contig17965_34</v>
      </c>
      <c r="AZ108" s="3">
        <v>7.9999999999999995E-88</v>
      </c>
      <c r="BA108" t="s">
        <v>1073</v>
      </c>
      <c r="BB108">
        <v>318</v>
      </c>
      <c r="BC108">
        <v>173</v>
      </c>
      <c r="BD108">
        <v>174</v>
      </c>
      <c r="BE108">
        <v>89</v>
      </c>
      <c r="BF108">
        <v>100</v>
      </c>
      <c r="BG108">
        <v>18</v>
      </c>
      <c r="BH108">
        <v>0</v>
      </c>
      <c r="BI108">
        <v>1</v>
      </c>
      <c r="BJ108">
        <v>1</v>
      </c>
      <c r="BK108">
        <v>1</v>
      </c>
      <c r="BL108" t="s">
        <v>674</v>
      </c>
      <c r="BM108">
        <f>HYPERLINK(".\links\GO\TI-187-GO.txt",5E-79)</f>
        <v>5E-79</v>
      </c>
      <c r="BN108" t="s">
        <v>675</v>
      </c>
      <c r="BO108" t="s">
        <v>345</v>
      </c>
      <c r="BP108" t="s">
        <v>349</v>
      </c>
      <c r="BQ108" t="s">
        <v>676</v>
      </c>
      <c r="BR108" s="3">
        <v>5E-79</v>
      </c>
      <c r="BS108" t="s">
        <v>677</v>
      </c>
      <c r="BT108" t="s">
        <v>323</v>
      </c>
      <c r="BU108" t="s">
        <v>334</v>
      </c>
      <c r="BV108" t="s">
        <v>678</v>
      </c>
      <c r="BW108" s="3">
        <v>5E-79</v>
      </c>
      <c r="BX108" t="s">
        <v>679</v>
      </c>
      <c r="BY108" t="s">
        <v>345</v>
      </c>
      <c r="BZ108" t="s">
        <v>349</v>
      </c>
      <c r="CA108" t="s">
        <v>680</v>
      </c>
      <c r="CB108" s="3">
        <v>5E-79</v>
      </c>
      <c r="CC108" t="s">
        <v>8</v>
      </c>
      <c r="CD108"/>
      <c r="CE108"/>
      <c r="CF108" t="s">
        <v>8</v>
      </c>
      <c r="CG108"/>
      <c r="CH108"/>
      <c r="CI108" t="s">
        <v>8</v>
      </c>
      <c r="CJ108"/>
      <c r="CK108" t="s">
        <v>8</v>
      </c>
      <c r="CL108"/>
      <c r="CM108" t="s">
        <v>8</v>
      </c>
      <c r="CN108"/>
      <c r="CO108" t="s">
        <v>8</v>
      </c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 t="s">
        <v>8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</row>
    <row r="109" spans="1:120" s="6" customFormat="1">
      <c r="A109" t="str">
        <f>HYPERLINK(".\links\pep\TI-188-pep.txt","TI-188")</f>
        <v>TI-188</v>
      </c>
      <c r="B109">
        <v>188</v>
      </c>
      <c r="C109" t="s">
        <v>7</v>
      </c>
      <c r="D109">
        <v>156</v>
      </c>
      <c r="E109">
        <v>0</v>
      </c>
      <c r="F109" t="str">
        <f>HYPERLINK(".\links\cds\TI-188-cds.txt","TI-188")</f>
        <v>TI-188</v>
      </c>
      <c r="G109">
        <v>467</v>
      </c>
      <c r="H109"/>
      <c r="I109" t="s">
        <v>29</v>
      </c>
      <c r="J109" t="s">
        <v>8</v>
      </c>
      <c r="K109">
        <v>1</v>
      </c>
      <c r="L109">
        <v>0</v>
      </c>
      <c r="M109">
        <f t="shared" si="4"/>
        <v>1</v>
      </c>
      <c r="N109">
        <f t="shared" si="5"/>
        <v>1</v>
      </c>
      <c r="O109" t="s">
        <v>1290</v>
      </c>
      <c r="P109" t="s">
        <v>1178</v>
      </c>
      <c r="Q109" t="str">
        <f>HYPERLINK(".\links\NR-LIGHT\TI-188-NR-LIGHT.txt","NR-LIGHT")</f>
        <v>NR-LIGHT</v>
      </c>
      <c r="R109">
        <v>2.0000000000000002E-15</v>
      </c>
      <c r="S109">
        <v>21.9</v>
      </c>
      <c r="T109" t="str">
        <f>HYPERLINK(".\links\NR-LIGHT\TI-188-NR-LIGHT.txt","similar to ENSANGP00000031364")</f>
        <v>similar to ENSANGP00000031364</v>
      </c>
      <c r="U109" t="str">
        <f>HYPERLINK("http://www.ncbi.nlm.nih.gov/sutils/blink.cgi?pid=156538801","2E-015")</f>
        <v>2E-015</v>
      </c>
      <c r="V109" t="str">
        <f>HYPERLINK("http://www.ncbi.nlm.nih.gov/protein/156538801","gi|156538801")</f>
        <v>gi|156538801</v>
      </c>
      <c r="W109">
        <v>83.6</v>
      </c>
      <c r="X109">
        <v>56</v>
      </c>
      <c r="Y109">
        <v>260</v>
      </c>
      <c r="Z109">
        <v>70</v>
      </c>
      <c r="AA109">
        <v>22</v>
      </c>
      <c r="AB109">
        <v>17</v>
      </c>
      <c r="AC109">
        <v>0</v>
      </c>
      <c r="AD109">
        <v>1</v>
      </c>
      <c r="AE109">
        <v>1</v>
      </c>
      <c r="AF109">
        <v>1</v>
      </c>
      <c r="AG109"/>
      <c r="AH109" t="s">
        <v>13</v>
      </c>
      <c r="AI109" t="s">
        <v>51</v>
      </c>
      <c r="AJ109" t="s">
        <v>274</v>
      </c>
      <c r="AK109" t="str">
        <f>HYPERLINK(".\links\SWISSP\TI-188-SWISSP.txt","Upstream activation factor subunit spp27 OS=Schizosaccharomyces pombe (strain")</f>
        <v>Upstream activation factor subunit spp27 OS=Schizosaccharomyces pombe (strain</v>
      </c>
      <c r="AL109" t="str">
        <f>HYPERLINK("http://www.uniprot.org/uniprot/O74503","0.006")</f>
        <v>0.006</v>
      </c>
      <c r="AM109" t="s">
        <v>158</v>
      </c>
      <c r="AN109">
        <v>40</v>
      </c>
      <c r="AO109">
        <v>50</v>
      </c>
      <c r="AP109">
        <v>233</v>
      </c>
      <c r="AQ109">
        <v>37</v>
      </c>
      <c r="AR109">
        <v>22</v>
      </c>
      <c r="AS109">
        <v>32</v>
      </c>
      <c r="AT109">
        <v>0</v>
      </c>
      <c r="AU109">
        <v>2</v>
      </c>
      <c r="AV109">
        <v>7</v>
      </c>
      <c r="AW109">
        <v>1</v>
      </c>
      <c r="AX109" t="s">
        <v>159</v>
      </c>
      <c r="AY109" t="str">
        <f>HYPERLINK(".\links\PREV-RHOD-PEP\TI-188-PREV-RHOD-PEP.txt","Contig17372_9")</f>
        <v>Contig17372_9</v>
      </c>
      <c r="AZ109" s="3">
        <v>1E-25</v>
      </c>
      <c r="BA109" t="s">
        <v>1074</v>
      </c>
      <c r="BB109">
        <v>111</v>
      </c>
      <c r="BC109">
        <v>56</v>
      </c>
      <c r="BD109">
        <v>268</v>
      </c>
      <c r="BE109">
        <v>98</v>
      </c>
      <c r="BF109">
        <v>21</v>
      </c>
      <c r="BG109">
        <v>1</v>
      </c>
      <c r="BH109">
        <v>0</v>
      </c>
      <c r="BI109">
        <v>1</v>
      </c>
      <c r="BJ109">
        <v>1</v>
      </c>
      <c r="BK109">
        <v>1</v>
      </c>
      <c r="BL109" t="s">
        <v>681</v>
      </c>
      <c r="BM109">
        <f>HYPERLINK(".\links\GO\TI-188-GO.txt",0.002)</f>
        <v>2E-3</v>
      </c>
      <c r="BN109" t="s">
        <v>682</v>
      </c>
      <c r="BO109" t="s">
        <v>683</v>
      </c>
      <c r="BP109" t="s">
        <v>684</v>
      </c>
      <c r="BQ109" t="s">
        <v>685</v>
      </c>
      <c r="BR109">
        <v>2E-3</v>
      </c>
      <c r="BS109" t="s">
        <v>686</v>
      </c>
      <c r="BT109" t="s">
        <v>323</v>
      </c>
      <c r="BU109" t="s">
        <v>334</v>
      </c>
      <c r="BV109" t="s">
        <v>687</v>
      </c>
      <c r="BW109">
        <v>2E-3</v>
      </c>
      <c r="BX109" t="s">
        <v>688</v>
      </c>
      <c r="BY109" t="s">
        <v>683</v>
      </c>
      <c r="BZ109" t="s">
        <v>684</v>
      </c>
      <c r="CA109" t="s">
        <v>689</v>
      </c>
      <c r="CB109">
        <v>2E-3</v>
      </c>
      <c r="CC109" t="s">
        <v>8</v>
      </c>
      <c r="CD109"/>
      <c r="CE109"/>
      <c r="CF109" t="s">
        <v>8</v>
      </c>
      <c r="CG109"/>
      <c r="CH109"/>
      <c r="CI109" t="s">
        <v>8</v>
      </c>
      <c r="CJ109"/>
      <c r="CK109" t="s">
        <v>8</v>
      </c>
      <c r="CL109"/>
      <c r="CM109" t="s">
        <v>8</v>
      </c>
      <c r="CN109"/>
      <c r="CO109" t="s">
        <v>8</v>
      </c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 t="s">
        <v>8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</row>
    <row r="110" spans="1:120" s="6" customFormat="1">
      <c r="A110" s="6" t="str">
        <f>HYPERLINK(".\links\pep\TI-189-pep.txt","TI-189")</f>
        <v>TI-189</v>
      </c>
      <c r="B110" s="6">
        <v>189</v>
      </c>
      <c r="C110" s="6" t="s">
        <v>7</v>
      </c>
      <c r="D110" s="6">
        <v>76</v>
      </c>
      <c r="E110" s="6">
        <v>0</v>
      </c>
      <c r="F110" s="6" t="str">
        <f>HYPERLINK(".\links\cds\TI-189-cds.txt","TI-189")</f>
        <v>TI-189</v>
      </c>
      <c r="G110" s="6">
        <v>231</v>
      </c>
      <c r="I110" s="6" t="s">
        <v>29</v>
      </c>
      <c r="J110" s="6" t="s">
        <v>6</v>
      </c>
      <c r="K110" s="6">
        <v>1</v>
      </c>
      <c r="L110" s="6">
        <v>0</v>
      </c>
      <c r="M110" s="6">
        <f t="shared" si="4"/>
        <v>1</v>
      </c>
      <c r="N110" s="6">
        <f t="shared" si="5"/>
        <v>1</v>
      </c>
      <c r="O110" s="6" t="s">
        <v>1170</v>
      </c>
      <c r="P110" s="6" t="s">
        <v>1171</v>
      </c>
      <c r="T110" s="6" t="str">
        <f>HYPERLINK(".\links\NR-LIGHT\TI-189-NR-LIGHT.txt","hypothetical protein LOC100575189 isoform 1")</f>
        <v>hypothetical protein LOC100575189 isoform 1</v>
      </c>
      <c r="U110" s="6" t="str">
        <f>HYPERLINK("http://www.ncbi.nlm.nih.gov/sutils/blink.cgi?pid=328702895","1E-005")</f>
        <v>1E-005</v>
      </c>
      <c r="V110" s="6" t="str">
        <f>HYPERLINK("http://www.ncbi.nlm.nih.gov/protein/328702895","gi|328702895")</f>
        <v>gi|328702895</v>
      </c>
      <c r="W110" s="6">
        <v>50.8</v>
      </c>
      <c r="X110" s="6">
        <v>56</v>
      </c>
      <c r="Y110" s="6">
        <v>334</v>
      </c>
      <c r="Z110" s="6">
        <v>46</v>
      </c>
      <c r="AA110" s="6">
        <v>17</v>
      </c>
      <c r="AB110" s="6">
        <v>32</v>
      </c>
      <c r="AC110" s="6">
        <v>3</v>
      </c>
      <c r="AD110" s="6">
        <v>5</v>
      </c>
      <c r="AE110" s="6">
        <v>8</v>
      </c>
      <c r="AF110" s="6">
        <v>1</v>
      </c>
      <c r="AH110" s="6" t="s">
        <v>13</v>
      </c>
      <c r="AI110" s="6" t="s">
        <v>51</v>
      </c>
      <c r="AJ110" s="6" t="s">
        <v>264</v>
      </c>
      <c r="AK110" s="6" t="s">
        <v>8</v>
      </c>
      <c r="AY110" s="6" t="s">
        <v>8</v>
      </c>
      <c r="BL110" s="6" t="s">
        <v>690</v>
      </c>
      <c r="BM110" s="6">
        <f>HYPERLINK(".\links\GO\TI-189-GO.txt",0.001)</f>
        <v>1E-3</v>
      </c>
      <c r="BN110" s="6" t="s">
        <v>339</v>
      </c>
      <c r="BO110" s="6" t="s">
        <v>340</v>
      </c>
      <c r="BP110" s="6" t="s">
        <v>341</v>
      </c>
      <c r="BQ110" s="6" t="s">
        <v>342</v>
      </c>
      <c r="BR110" s="6">
        <v>1E-3</v>
      </c>
      <c r="BS110" s="6" t="s">
        <v>447</v>
      </c>
      <c r="BT110" s="6" t="s">
        <v>323</v>
      </c>
      <c r="BU110" s="6" t="s">
        <v>334</v>
      </c>
      <c r="BV110" s="6" t="s">
        <v>448</v>
      </c>
      <c r="BW110" s="6">
        <v>1E-3</v>
      </c>
      <c r="BX110" s="6" t="s">
        <v>691</v>
      </c>
      <c r="BY110" s="6" t="s">
        <v>340</v>
      </c>
      <c r="BZ110" s="6" t="s">
        <v>341</v>
      </c>
      <c r="CA110" s="6" t="s">
        <v>692</v>
      </c>
      <c r="CB110" s="6">
        <v>1E-3</v>
      </c>
      <c r="CC110" s="6" t="s">
        <v>8</v>
      </c>
      <c r="CF110" s="6" t="s">
        <v>8</v>
      </c>
      <c r="CI110" s="6" t="s">
        <v>8</v>
      </c>
      <c r="CK110" s="6" t="s">
        <v>8</v>
      </c>
      <c r="CM110" s="6" t="s">
        <v>8</v>
      </c>
      <c r="CO110" s="6" t="s">
        <v>8</v>
      </c>
      <c r="DC110" s="6" t="s">
        <v>8</v>
      </c>
    </row>
    <row r="111" spans="1:120" s="6" customFormat="1">
      <c r="A111" t="str">
        <f>HYPERLINK(".\links\pep\TI-190-pep.txt","TI-190")</f>
        <v>TI-190</v>
      </c>
      <c r="B111">
        <v>190</v>
      </c>
      <c r="C111" t="s">
        <v>7</v>
      </c>
      <c r="D111">
        <v>180</v>
      </c>
      <c r="E111" s="2">
        <v>11.11111</v>
      </c>
      <c r="F111" t="str">
        <f>HYPERLINK(".\links\cds\TI-190-cds.txt","TI-190")</f>
        <v>TI-190</v>
      </c>
      <c r="G111">
        <v>543</v>
      </c>
      <c r="H111" t="s">
        <v>24</v>
      </c>
      <c r="I111" t="s">
        <v>29</v>
      </c>
      <c r="J111" t="s">
        <v>6</v>
      </c>
      <c r="K111">
        <v>1</v>
      </c>
      <c r="L111">
        <v>0</v>
      </c>
      <c r="M111">
        <f t="shared" si="4"/>
        <v>1</v>
      </c>
      <c r="N111">
        <f t="shared" si="5"/>
        <v>1</v>
      </c>
      <c r="O111" t="s">
        <v>1200</v>
      </c>
      <c r="P111" t="s">
        <v>1168</v>
      </c>
      <c r="Q111" t="str">
        <f>HYPERLINK(".\links\NR-LIGHT\TI-190-NR-LIGHT.txt","NR-LIGHT")</f>
        <v>NR-LIGHT</v>
      </c>
      <c r="R111" s="3">
        <v>1.9999999999999999E-67</v>
      </c>
      <c r="S111">
        <v>69</v>
      </c>
      <c r="T111" t="str">
        <f>HYPERLINK(".\links\NR-LIGHT\TI-190-NR-LIGHT.txt","hemolysin-like secreted salivary protein 1")</f>
        <v>hemolysin-like secreted salivary protein 1</v>
      </c>
      <c r="U111" t="str">
        <f>HYPERLINK("http://www.ncbi.nlm.nih.gov/sutils/blink.cgi?pid=149898852","2E-067")</f>
        <v>2E-067</v>
      </c>
      <c r="V111" t="str">
        <f>HYPERLINK("http://www.ncbi.nlm.nih.gov/protein/149898852","gi|149898852")</f>
        <v>gi|149898852</v>
      </c>
      <c r="W111">
        <v>256</v>
      </c>
      <c r="X111">
        <v>171</v>
      </c>
      <c r="Y111">
        <v>249</v>
      </c>
      <c r="Z111">
        <v>79</v>
      </c>
      <c r="AA111">
        <v>69</v>
      </c>
      <c r="AB111">
        <v>35</v>
      </c>
      <c r="AC111">
        <v>0</v>
      </c>
      <c r="AD111">
        <v>1</v>
      </c>
      <c r="AE111">
        <v>1</v>
      </c>
      <c r="AF111">
        <v>1</v>
      </c>
      <c r="AG111"/>
      <c r="AH111" t="s">
        <v>13</v>
      </c>
      <c r="AI111" t="s">
        <v>51</v>
      </c>
      <c r="AJ111" t="s">
        <v>273</v>
      </c>
      <c r="AK111" t="s">
        <v>8</v>
      </c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 t="str">
        <f>HYPERLINK(".\links\PREV-RHOD-PEP\TI-190-PREV-RHOD-PEP.txt","Contig17876_8")</f>
        <v>Contig17876_8</v>
      </c>
      <c r="AZ111" s="3">
        <v>7.0000000000000001E-15</v>
      </c>
      <c r="BA111" t="s">
        <v>993</v>
      </c>
      <c r="BB111">
        <v>76.3</v>
      </c>
      <c r="BC111">
        <v>149</v>
      </c>
      <c r="BD111">
        <v>190</v>
      </c>
      <c r="BE111">
        <v>33</v>
      </c>
      <c r="BF111">
        <v>79</v>
      </c>
      <c r="BG111">
        <v>101</v>
      </c>
      <c r="BH111">
        <v>1</v>
      </c>
      <c r="BI111">
        <v>23</v>
      </c>
      <c r="BJ111">
        <v>30</v>
      </c>
      <c r="BK111">
        <v>1</v>
      </c>
      <c r="BL111" t="s">
        <v>8</v>
      </c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 t="s">
        <v>8</v>
      </c>
      <c r="CD111"/>
      <c r="CE111"/>
      <c r="CF111" t="s">
        <v>8</v>
      </c>
      <c r="CG111"/>
      <c r="CH111"/>
      <c r="CI111" t="s">
        <v>8</v>
      </c>
      <c r="CJ111"/>
      <c r="CK111" t="s">
        <v>8</v>
      </c>
      <c r="CL111"/>
      <c r="CM111" t="s">
        <v>8</v>
      </c>
      <c r="CN111"/>
      <c r="CO111" t="s">
        <v>8</v>
      </c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 t="s">
        <v>8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</row>
    <row r="112" spans="1:120" s="6" customFormat="1">
      <c r="A112" s="6" t="str">
        <f>HYPERLINK(".\links\pep\TI-193-pep.txt","TI-193")</f>
        <v>TI-193</v>
      </c>
      <c r="B112" s="6">
        <v>193</v>
      </c>
      <c r="C112" s="6" t="s">
        <v>7</v>
      </c>
      <c r="D112" s="6">
        <v>13</v>
      </c>
      <c r="E112" s="6">
        <v>0</v>
      </c>
      <c r="F112" s="6" t="str">
        <f>HYPERLINK(".\links\cds\TI-193-cds.txt","TI-193")</f>
        <v>TI-193</v>
      </c>
      <c r="G112" s="6">
        <v>42</v>
      </c>
      <c r="I112" s="6" t="s">
        <v>29</v>
      </c>
      <c r="J112" s="6" t="s">
        <v>6</v>
      </c>
      <c r="K112" s="6">
        <v>1</v>
      </c>
      <c r="L112" s="6">
        <v>0</v>
      </c>
      <c r="M112" s="6">
        <f t="shared" si="4"/>
        <v>1</v>
      </c>
      <c r="N112" s="6">
        <f t="shared" si="5"/>
        <v>1</v>
      </c>
      <c r="O112" s="6" t="s">
        <v>1170</v>
      </c>
      <c r="P112" s="6" t="s">
        <v>1171</v>
      </c>
      <c r="T112" s="6" t="s">
        <v>8</v>
      </c>
      <c r="AK112" s="6" t="s">
        <v>8</v>
      </c>
      <c r="AY112" s="6" t="s">
        <v>8</v>
      </c>
      <c r="BL112" s="6" t="s">
        <v>8</v>
      </c>
      <c r="CC112" s="6" t="s">
        <v>8</v>
      </c>
      <c r="CF112" s="6" t="s">
        <v>8</v>
      </c>
      <c r="CI112" s="6" t="s">
        <v>8</v>
      </c>
      <c r="CK112" s="6" t="s">
        <v>8</v>
      </c>
      <c r="CM112" s="6" t="s">
        <v>8</v>
      </c>
      <c r="CO112" s="6" t="s">
        <v>8</v>
      </c>
      <c r="DC112" s="6" t="s">
        <v>8</v>
      </c>
    </row>
    <row r="113" spans="1:120" s="6" customFormat="1">
      <c r="A113" t="str">
        <f>HYPERLINK(".\links\pep\TI-194-pep.txt","TI-194")</f>
        <v>TI-194</v>
      </c>
      <c r="B113">
        <v>194</v>
      </c>
      <c r="C113" t="s">
        <v>7</v>
      </c>
      <c r="D113">
        <v>144</v>
      </c>
      <c r="E113">
        <v>0</v>
      </c>
      <c r="F113" t="str">
        <f>HYPERLINK(".\links\cds\TI-194-cds.txt","TI-194")</f>
        <v>TI-194</v>
      </c>
      <c r="G113">
        <v>431</v>
      </c>
      <c r="H113"/>
      <c r="I113" t="s">
        <v>29</v>
      </c>
      <c r="J113" t="s">
        <v>8</v>
      </c>
      <c r="K113">
        <v>0</v>
      </c>
      <c r="L113">
        <v>1</v>
      </c>
      <c r="M113">
        <f t="shared" si="4"/>
        <v>-1</v>
      </c>
      <c r="N113">
        <f t="shared" si="5"/>
        <v>1</v>
      </c>
      <c r="O113" t="s">
        <v>1201</v>
      </c>
      <c r="P113" t="s">
        <v>1173</v>
      </c>
      <c r="Q113" t="str">
        <f>HYPERLINK(".\links\SWISSP\TI-194-SWISSP.txt","SWISSP")</f>
        <v>SWISSP</v>
      </c>
      <c r="R113" s="3">
        <v>2.0000000000000001E-62</v>
      </c>
      <c r="S113">
        <v>33.799999999999997</v>
      </c>
      <c r="T113" t="str">
        <f>HYPERLINK(".\links\NR-LIGHT\TI-194-NR-LIGHT.txt","hypothetical protein DAPPUDRAFT_203975")</f>
        <v>hypothetical protein DAPPUDRAFT_203975</v>
      </c>
      <c r="U113" t="str">
        <f>HYPERLINK("http://www.ncbi.nlm.nih.gov/sutils/blink.cgi?pid=321455574","2E-068")</f>
        <v>2E-068</v>
      </c>
      <c r="V113" t="str">
        <f>HYPERLINK("http://www.ncbi.nlm.nih.gov/protein/321455574","gi|321455574")</f>
        <v>gi|321455574</v>
      </c>
      <c r="W113">
        <v>259</v>
      </c>
      <c r="X113">
        <v>143</v>
      </c>
      <c r="Y113">
        <v>418</v>
      </c>
      <c r="Z113">
        <v>82</v>
      </c>
      <c r="AA113">
        <v>34</v>
      </c>
      <c r="AB113">
        <v>25</v>
      </c>
      <c r="AC113">
        <v>0</v>
      </c>
      <c r="AD113">
        <v>1</v>
      </c>
      <c r="AE113">
        <v>1</v>
      </c>
      <c r="AF113">
        <v>1</v>
      </c>
      <c r="AG113"/>
      <c r="AH113" t="s">
        <v>13</v>
      </c>
      <c r="AI113" t="s">
        <v>51</v>
      </c>
      <c r="AJ113" t="s">
        <v>270</v>
      </c>
      <c r="AK113" t="str">
        <f>HYPERLINK(".\links\SWISSP\TI-194-SWISSP.txt","Hydroxysteroid dehydrogenase-like protein 2 OS=Xenopus tropicalis GN=hsdl2 PE=2")</f>
        <v>Hydroxysteroid dehydrogenase-like protein 2 OS=Xenopus tropicalis GN=hsdl2 PE=2</v>
      </c>
      <c r="AL113" t="str">
        <f>HYPERLINK("http://www.uniprot.org/uniprot/Q66KC4","2E-062")</f>
        <v>2E-062</v>
      </c>
      <c r="AM113" t="s">
        <v>160</v>
      </c>
      <c r="AN113">
        <v>236</v>
      </c>
      <c r="AO113">
        <v>140</v>
      </c>
      <c r="AP113">
        <v>417</v>
      </c>
      <c r="AQ113">
        <v>80</v>
      </c>
      <c r="AR113">
        <v>34</v>
      </c>
      <c r="AS113">
        <v>27</v>
      </c>
      <c r="AT113">
        <v>0</v>
      </c>
      <c r="AU113">
        <v>4</v>
      </c>
      <c r="AV113">
        <v>3</v>
      </c>
      <c r="AW113">
        <v>1</v>
      </c>
      <c r="AX113" t="s">
        <v>100</v>
      </c>
      <c r="AY113" t="str">
        <f>HYPERLINK(".\links\PREV-RHOD-PEP\TI-194-PREV-RHOD-PEP.txt","Contig18032_73")</f>
        <v>Contig18032_73</v>
      </c>
      <c r="AZ113" s="3">
        <v>5.9999999999999998E-78</v>
      </c>
      <c r="BA113" t="s">
        <v>1075</v>
      </c>
      <c r="BB113">
        <v>285</v>
      </c>
      <c r="BC113">
        <v>138</v>
      </c>
      <c r="BD113">
        <v>2544</v>
      </c>
      <c r="BE113">
        <v>97</v>
      </c>
      <c r="BF113">
        <v>5</v>
      </c>
      <c r="BG113">
        <v>3</v>
      </c>
      <c r="BH113">
        <v>0</v>
      </c>
      <c r="BI113">
        <v>1463</v>
      </c>
      <c r="BJ113">
        <v>6</v>
      </c>
      <c r="BK113">
        <v>1</v>
      </c>
      <c r="BL113" t="s">
        <v>693</v>
      </c>
      <c r="BM113">
        <f>HYPERLINK(".\links\GO\TI-194-GO.txt",5E-67)</f>
        <v>4.9999999999999999E-67</v>
      </c>
      <c r="BN113" t="s">
        <v>694</v>
      </c>
      <c r="BO113" t="s">
        <v>345</v>
      </c>
      <c r="BP113" t="s">
        <v>368</v>
      </c>
      <c r="BQ113" t="s">
        <v>695</v>
      </c>
      <c r="BR113">
        <v>4.9999999999999999E-13</v>
      </c>
      <c r="BS113" t="s">
        <v>8</v>
      </c>
      <c r="BT113" t="s">
        <v>8</v>
      </c>
      <c r="BU113" t="s">
        <v>8</v>
      </c>
      <c r="BV113" t="s">
        <v>8</v>
      </c>
      <c r="BW113" t="s">
        <v>8</v>
      </c>
      <c r="BX113" t="s">
        <v>696</v>
      </c>
      <c r="BY113" t="s">
        <v>345</v>
      </c>
      <c r="BZ113" t="s">
        <v>368</v>
      </c>
      <c r="CA113" t="s">
        <v>697</v>
      </c>
      <c r="CB113">
        <v>4.9999999999999999E-13</v>
      </c>
      <c r="CC113" t="s">
        <v>8</v>
      </c>
      <c r="CD113"/>
      <c r="CE113"/>
      <c r="CF113" t="s">
        <v>8</v>
      </c>
      <c r="CG113"/>
      <c r="CH113"/>
      <c r="CI113" t="s">
        <v>8</v>
      </c>
      <c r="CJ113"/>
      <c r="CK113" t="s">
        <v>8</v>
      </c>
      <c r="CL113"/>
      <c r="CM113" t="s">
        <v>8</v>
      </c>
      <c r="CN113"/>
      <c r="CO113" t="s">
        <v>8</v>
      </c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 t="s">
        <v>8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</row>
    <row r="114" spans="1:120" s="6" customFormat="1">
      <c r="A114" s="6" t="str">
        <f>HYPERLINK(".\links\pep\TI-199-pep.txt","TI-199")</f>
        <v>TI-199</v>
      </c>
      <c r="B114" s="6">
        <v>199</v>
      </c>
      <c r="C114" s="6" t="s">
        <v>27</v>
      </c>
      <c r="D114" s="6">
        <v>29</v>
      </c>
      <c r="E114" s="6">
        <v>0</v>
      </c>
      <c r="F114" s="6" t="str">
        <f>HYPERLINK(".\links\cds\TI-199-cds.txt","TI-199")</f>
        <v>TI-199</v>
      </c>
      <c r="G114" s="6">
        <v>90</v>
      </c>
      <c r="I114" s="6" t="s">
        <v>8</v>
      </c>
      <c r="J114" s="6" t="s">
        <v>6</v>
      </c>
      <c r="K114" s="6">
        <v>0</v>
      </c>
      <c r="L114" s="6">
        <v>1</v>
      </c>
      <c r="M114" s="6">
        <f t="shared" si="4"/>
        <v>-1</v>
      </c>
      <c r="N114" s="6">
        <f t="shared" si="5"/>
        <v>1</v>
      </c>
      <c r="O114" s="6" t="s">
        <v>1170</v>
      </c>
      <c r="P114" s="6" t="s">
        <v>1171</v>
      </c>
      <c r="T114" s="6" t="s">
        <v>8</v>
      </c>
      <c r="AK114" s="6" t="s">
        <v>8</v>
      </c>
      <c r="AY114" s="6" t="s">
        <v>8</v>
      </c>
      <c r="BL114" s="6" t="s">
        <v>8</v>
      </c>
      <c r="CC114" s="6" t="s">
        <v>8</v>
      </c>
      <c r="CF114" s="6" t="s">
        <v>8</v>
      </c>
      <c r="CI114" s="6" t="s">
        <v>8</v>
      </c>
      <c r="CK114" s="6" t="s">
        <v>8</v>
      </c>
      <c r="CM114" s="6" t="s">
        <v>8</v>
      </c>
      <c r="CO114" s="6" t="s">
        <v>8</v>
      </c>
      <c r="DC114" s="6" t="s">
        <v>8</v>
      </c>
    </row>
    <row r="115" spans="1:120" s="6" customFormat="1">
      <c r="A115" t="str">
        <f>HYPERLINK(".\links\pep\TI-200-pep.txt","TI-200")</f>
        <v>TI-200</v>
      </c>
      <c r="B115">
        <v>200</v>
      </c>
      <c r="C115" t="s">
        <v>7</v>
      </c>
      <c r="D115">
        <v>162</v>
      </c>
      <c r="E115">
        <v>0</v>
      </c>
      <c r="F115" t="str">
        <f>HYPERLINK(".\links\cds\TI-200-cds.txt","TI-200")</f>
        <v>TI-200</v>
      </c>
      <c r="G115">
        <v>489</v>
      </c>
      <c r="H115"/>
      <c r="I115" t="s">
        <v>29</v>
      </c>
      <c r="J115" t="s">
        <v>6</v>
      </c>
      <c r="K115">
        <v>4</v>
      </c>
      <c r="L115">
        <v>0</v>
      </c>
      <c r="M115">
        <f t="shared" si="4"/>
        <v>4</v>
      </c>
      <c r="N115">
        <f t="shared" si="5"/>
        <v>4</v>
      </c>
      <c r="O115" t="s">
        <v>1291</v>
      </c>
      <c r="P115" t="s">
        <v>1188</v>
      </c>
      <c r="Q115" t="str">
        <f>HYPERLINK(".\links\NR-LIGHT\TI-200-NR-LIGHT.txt","NR-LIGHT")</f>
        <v>NR-LIGHT</v>
      </c>
      <c r="R115">
        <v>2E-8</v>
      </c>
      <c r="S115">
        <v>78.599999999999994</v>
      </c>
      <c r="T115" t="str">
        <f>HYPERLINK(".\links\NR-LIGHT\TI-200-NR-LIGHT.txt","hypothetical protein TcasGA2_TC002967")</f>
        <v>hypothetical protein TcasGA2_TC002967</v>
      </c>
      <c r="U115" t="str">
        <f>HYPERLINK("http://www.ncbi.nlm.nih.gov/sutils/blink.cgi?pid=270003698","2E-010")</f>
        <v>2E-010</v>
      </c>
      <c r="V115" t="str">
        <f>HYPERLINK("http://www.ncbi.nlm.nih.gov/protein/270003698","gi|270003698")</f>
        <v>gi|270003698</v>
      </c>
      <c r="W115">
        <v>67</v>
      </c>
      <c r="X115">
        <v>133</v>
      </c>
      <c r="Y115">
        <v>165</v>
      </c>
      <c r="Z115">
        <v>29</v>
      </c>
      <c r="AA115">
        <v>81</v>
      </c>
      <c r="AB115">
        <v>94</v>
      </c>
      <c r="AC115">
        <v>2</v>
      </c>
      <c r="AD115">
        <v>23</v>
      </c>
      <c r="AE115">
        <v>22</v>
      </c>
      <c r="AF115">
        <v>1</v>
      </c>
      <c r="AG115"/>
      <c r="AH115" t="s">
        <v>13</v>
      </c>
      <c r="AI115" t="s">
        <v>51</v>
      </c>
      <c r="AJ115" t="s">
        <v>266</v>
      </c>
      <c r="AK115" t="s">
        <v>8</v>
      </c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 t="str">
        <f>HYPERLINK(".\links\PREV-RHOD-PEP\TI-200-PREV-RHOD-PEP.txt","Contig17971_367")</f>
        <v>Contig17971_367</v>
      </c>
      <c r="AZ115" s="3">
        <v>1.9999999999999999E-38</v>
      </c>
      <c r="BA115" t="s">
        <v>1076</v>
      </c>
      <c r="BB115">
        <v>154</v>
      </c>
      <c r="BC115">
        <v>90</v>
      </c>
      <c r="BD115">
        <v>109</v>
      </c>
      <c r="BE115">
        <v>75</v>
      </c>
      <c r="BF115">
        <v>83</v>
      </c>
      <c r="BG115">
        <v>22</v>
      </c>
      <c r="BH115">
        <v>0</v>
      </c>
      <c r="BI115">
        <v>3</v>
      </c>
      <c r="BJ115">
        <v>2</v>
      </c>
      <c r="BK115">
        <v>1</v>
      </c>
      <c r="BL115" t="s">
        <v>8</v>
      </c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 t="s">
        <v>8</v>
      </c>
      <c r="CD115"/>
      <c r="CE115"/>
      <c r="CF115" t="s">
        <v>8</v>
      </c>
      <c r="CG115"/>
      <c r="CH115"/>
      <c r="CI115" t="s">
        <v>8</v>
      </c>
      <c r="CJ115"/>
      <c r="CK115" t="s">
        <v>8</v>
      </c>
      <c r="CL115"/>
      <c r="CM115" t="s">
        <v>8</v>
      </c>
      <c r="CN115"/>
      <c r="CO115" t="s">
        <v>8</v>
      </c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 t="s">
        <v>8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</row>
    <row r="116" spans="1:120" s="6" customFormat="1">
      <c r="A116" s="6" t="str">
        <f>HYPERLINK(".\links\pep\TI-203-pep.txt","TI-203")</f>
        <v>TI-203</v>
      </c>
      <c r="B116" s="6">
        <v>203</v>
      </c>
      <c r="C116" s="6" t="s">
        <v>17</v>
      </c>
      <c r="D116" s="6">
        <v>61</v>
      </c>
      <c r="E116" s="6">
        <v>0</v>
      </c>
      <c r="F116" s="6" t="str">
        <f>HYPERLINK(".\links\cds\TI-203-cds.txt","TI-203")</f>
        <v>TI-203</v>
      </c>
      <c r="G116" s="6">
        <v>186</v>
      </c>
      <c r="I116" s="6" t="s">
        <v>8</v>
      </c>
      <c r="J116" s="6" t="s">
        <v>6</v>
      </c>
      <c r="K116" s="6">
        <v>1</v>
      </c>
      <c r="L116" s="6">
        <v>0</v>
      </c>
      <c r="M116" s="6">
        <f t="shared" si="4"/>
        <v>1</v>
      </c>
      <c r="N116" s="6">
        <f t="shared" si="5"/>
        <v>1</v>
      </c>
      <c r="O116" s="6" t="s">
        <v>1170</v>
      </c>
      <c r="P116" s="6" t="s">
        <v>1171</v>
      </c>
      <c r="T116" s="6" t="s">
        <v>8</v>
      </c>
      <c r="AK116" s="6" t="s">
        <v>8</v>
      </c>
      <c r="AY116" s="6" t="s">
        <v>8</v>
      </c>
      <c r="BL116" s="6" t="s">
        <v>8</v>
      </c>
      <c r="CC116" s="6" t="s">
        <v>8</v>
      </c>
      <c r="CF116" s="6" t="s">
        <v>8</v>
      </c>
      <c r="CI116" s="6" t="s">
        <v>8</v>
      </c>
      <c r="CK116" s="6" t="s">
        <v>8</v>
      </c>
      <c r="CM116" s="6" t="s">
        <v>8</v>
      </c>
      <c r="CO116" s="6" t="s">
        <v>8</v>
      </c>
      <c r="DC116" s="6" t="s">
        <v>8</v>
      </c>
    </row>
    <row r="117" spans="1:120" s="6" customFormat="1">
      <c r="A117" s="6" t="str">
        <f>HYPERLINK(".\links\pep\TI-205-pep.txt","TI-205")</f>
        <v>TI-205</v>
      </c>
      <c r="B117" s="6">
        <v>205</v>
      </c>
      <c r="C117" s="6" t="s">
        <v>10</v>
      </c>
      <c r="D117" s="6">
        <v>86</v>
      </c>
      <c r="E117" s="7">
        <v>1.1627909999999999</v>
      </c>
      <c r="F117" s="6" t="str">
        <f>HYPERLINK(".\links\cds\TI-205-cds.txt","TI-205")</f>
        <v>TI-205</v>
      </c>
      <c r="G117" s="6">
        <v>261</v>
      </c>
      <c r="I117" s="6" t="s">
        <v>8</v>
      </c>
      <c r="J117" s="6" t="s">
        <v>6</v>
      </c>
      <c r="K117" s="6">
        <v>1</v>
      </c>
      <c r="L117" s="6">
        <v>0</v>
      </c>
      <c r="M117" s="6">
        <f t="shared" si="4"/>
        <v>1</v>
      </c>
      <c r="N117" s="6">
        <f t="shared" si="5"/>
        <v>1</v>
      </c>
      <c r="O117" s="6" t="s">
        <v>1170</v>
      </c>
      <c r="P117" s="6" t="s">
        <v>1171</v>
      </c>
      <c r="T117" s="6" t="s">
        <v>8</v>
      </c>
      <c r="AK117" s="6" t="s">
        <v>8</v>
      </c>
      <c r="AY117" s="6" t="str">
        <f>HYPERLINK(".\links\PREV-RHOD-PEP\TI-205-PREV-RHOD-PEP.txt","Contig17971_250")</f>
        <v>Contig17971_250</v>
      </c>
      <c r="AZ117" s="8">
        <v>5.9999999999999997E-7</v>
      </c>
      <c r="BA117" s="6" t="s">
        <v>1023</v>
      </c>
      <c r="BB117" s="6">
        <v>48.9</v>
      </c>
      <c r="BC117" s="6">
        <v>64</v>
      </c>
      <c r="BD117" s="6">
        <v>188</v>
      </c>
      <c r="BE117" s="6">
        <v>47</v>
      </c>
      <c r="BF117" s="6">
        <v>35</v>
      </c>
      <c r="BG117" s="6">
        <v>34</v>
      </c>
      <c r="BH117" s="6">
        <v>0</v>
      </c>
      <c r="BI117" s="6">
        <v>7</v>
      </c>
      <c r="BJ117" s="6">
        <v>5</v>
      </c>
      <c r="BK117" s="6">
        <v>1</v>
      </c>
      <c r="BL117" s="6" t="s">
        <v>8</v>
      </c>
      <c r="CC117" s="6" t="s">
        <v>8</v>
      </c>
      <c r="CF117" s="6" t="s">
        <v>8</v>
      </c>
      <c r="CI117" s="6" t="s">
        <v>8</v>
      </c>
      <c r="CK117" s="6" t="s">
        <v>8</v>
      </c>
      <c r="CM117" s="6" t="s">
        <v>8</v>
      </c>
      <c r="CO117" s="6" t="s">
        <v>8</v>
      </c>
      <c r="DC117" s="6" t="s">
        <v>8</v>
      </c>
    </row>
    <row r="118" spans="1:120" s="6" customFormat="1">
      <c r="A118" t="str">
        <f>HYPERLINK(".\links\pep\TI-206-pep.txt","TI-206")</f>
        <v>TI-206</v>
      </c>
      <c r="B118">
        <v>206</v>
      </c>
      <c r="C118" t="s">
        <v>11</v>
      </c>
      <c r="D118">
        <v>139</v>
      </c>
      <c r="E118">
        <v>0</v>
      </c>
      <c r="F118" t="str">
        <f>HYPERLINK(".\links\cds\TI-206-cds.txt","TI-206")</f>
        <v>TI-206</v>
      </c>
      <c r="G118">
        <v>420</v>
      </c>
      <c r="H118"/>
      <c r="I118" t="s">
        <v>8</v>
      </c>
      <c r="J118" t="s">
        <v>6</v>
      </c>
      <c r="K118">
        <v>0</v>
      </c>
      <c r="L118">
        <v>1</v>
      </c>
      <c r="M118">
        <f t="shared" si="4"/>
        <v>-1</v>
      </c>
      <c r="N118">
        <f t="shared" si="5"/>
        <v>1</v>
      </c>
      <c r="O118" t="s">
        <v>1202</v>
      </c>
      <c r="P118" t="s">
        <v>1169</v>
      </c>
      <c r="Q118" t="str">
        <f>HYPERLINK(".\links\GO\TI-206-GO.txt","GO")</f>
        <v>GO</v>
      </c>
      <c r="R118" s="3">
        <v>1E-51</v>
      </c>
      <c r="S118">
        <v>92.2</v>
      </c>
      <c r="T118" t="str">
        <f>HYPERLINK(".\links\NR-LIGHT\TI-206-NR-LIGHT.txt","unnamed protein product")</f>
        <v>unnamed protein product</v>
      </c>
      <c r="U118" t="str">
        <f>HYPERLINK("http://www.ncbi.nlm.nih.gov/sutils/blink.cgi?pid=12846939","5E-066")</f>
        <v>5E-066</v>
      </c>
      <c r="V118" t="str">
        <f>HYPERLINK("http://www.ncbi.nlm.nih.gov/protein/12846939","gi|12846939")</f>
        <v>gi|12846939</v>
      </c>
      <c r="W118">
        <v>251</v>
      </c>
      <c r="X118">
        <v>138</v>
      </c>
      <c r="Y118">
        <v>142</v>
      </c>
      <c r="Z118">
        <v>91</v>
      </c>
      <c r="AA118">
        <v>98</v>
      </c>
      <c r="AB118">
        <v>12</v>
      </c>
      <c r="AC118">
        <v>0</v>
      </c>
      <c r="AD118">
        <v>4</v>
      </c>
      <c r="AE118">
        <v>1</v>
      </c>
      <c r="AF118">
        <v>1</v>
      </c>
      <c r="AG118"/>
      <c r="AH118" t="s">
        <v>13</v>
      </c>
      <c r="AI118" t="s">
        <v>51</v>
      </c>
      <c r="AJ118" t="s">
        <v>87</v>
      </c>
      <c r="AK118" t="str">
        <f>HYPERLINK(".\links\SWISSP\TI-206-SWISSP.txt","Hemoglobin subunit alpha OS=Mus musculus GN=Hba PE=1 SV=2")</f>
        <v>Hemoglobin subunit alpha OS=Mus musculus GN=Hba PE=1 SV=2</v>
      </c>
      <c r="AL118" t="str">
        <f>HYPERLINK("http://www.uniprot.org/uniprot/P01942","7E-065")</f>
        <v>7E-065</v>
      </c>
      <c r="AM118" t="s">
        <v>161</v>
      </c>
      <c r="AN118">
        <v>245</v>
      </c>
      <c r="AO118">
        <v>130</v>
      </c>
      <c r="AP118">
        <v>142</v>
      </c>
      <c r="AQ118">
        <v>95</v>
      </c>
      <c r="AR118">
        <v>92</v>
      </c>
      <c r="AS118">
        <v>6</v>
      </c>
      <c r="AT118">
        <v>0</v>
      </c>
      <c r="AU118">
        <v>12</v>
      </c>
      <c r="AV118">
        <v>9</v>
      </c>
      <c r="AW118">
        <v>1</v>
      </c>
      <c r="AX118" t="s">
        <v>87</v>
      </c>
      <c r="AY118" t="s">
        <v>8</v>
      </c>
      <c r="AZ118"/>
      <c r="BA118"/>
      <c r="BB118"/>
      <c r="BC118"/>
      <c r="BD118"/>
      <c r="BE118"/>
      <c r="BF118"/>
      <c r="BG118"/>
      <c r="BH118"/>
      <c r="BI118"/>
      <c r="BJ118"/>
      <c r="BK118"/>
      <c r="BL118" t="s">
        <v>698</v>
      </c>
      <c r="BM118">
        <f>HYPERLINK(".\links\GO\TI-206-GO.txt",2E-65)</f>
        <v>1.9999999999999998E-65</v>
      </c>
      <c r="BN118" t="s">
        <v>699</v>
      </c>
      <c r="BO118" t="s">
        <v>340</v>
      </c>
      <c r="BP118" t="s">
        <v>341</v>
      </c>
      <c r="BQ118" t="s">
        <v>700</v>
      </c>
      <c r="BR118" s="3">
        <v>1E-51</v>
      </c>
      <c r="BS118" t="s">
        <v>389</v>
      </c>
      <c r="BT118" t="s">
        <v>323</v>
      </c>
      <c r="BU118" t="s">
        <v>390</v>
      </c>
      <c r="BV118" t="s">
        <v>391</v>
      </c>
      <c r="BW118" s="3">
        <v>1E-51</v>
      </c>
      <c r="BX118" t="s">
        <v>701</v>
      </c>
      <c r="BY118" t="s">
        <v>340</v>
      </c>
      <c r="BZ118" t="s">
        <v>341</v>
      </c>
      <c r="CA118" t="s">
        <v>702</v>
      </c>
      <c r="CB118" s="3">
        <v>1E-51</v>
      </c>
      <c r="CC118" t="s">
        <v>8</v>
      </c>
      <c r="CD118"/>
      <c r="CE118"/>
      <c r="CF118" t="s">
        <v>8</v>
      </c>
      <c r="CG118"/>
      <c r="CH118"/>
      <c r="CI118" t="s">
        <v>8</v>
      </c>
      <c r="CJ118"/>
      <c r="CK118" t="s">
        <v>8</v>
      </c>
      <c r="CL118"/>
      <c r="CM118" t="s">
        <v>8</v>
      </c>
      <c r="CN118"/>
      <c r="CO118" t="s">
        <v>8</v>
      </c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 t="s">
        <v>8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</row>
    <row r="119" spans="1:120" s="6" customFormat="1">
      <c r="A119" t="str">
        <f>HYPERLINK(".\links\pep\TI-207-pep.txt","TI-207")</f>
        <v>TI-207</v>
      </c>
      <c r="B119">
        <v>207</v>
      </c>
      <c r="C119" t="s">
        <v>7</v>
      </c>
      <c r="D119">
        <v>83</v>
      </c>
      <c r="E119">
        <v>0</v>
      </c>
      <c r="F119" t="str">
        <f>HYPERLINK(".\links\cds\TI-207-cds.txt","TI-207")</f>
        <v>TI-207</v>
      </c>
      <c r="G119">
        <v>252</v>
      </c>
      <c r="H119"/>
      <c r="I119" t="s">
        <v>29</v>
      </c>
      <c r="J119" t="s">
        <v>6</v>
      </c>
      <c r="K119">
        <v>0</v>
      </c>
      <c r="L119">
        <v>1</v>
      </c>
      <c r="M119">
        <f t="shared" si="4"/>
        <v>-1</v>
      </c>
      <c r="N119">
        <f t="shared" si="5"/>
        <v>1</v>
      </c>
      <c r="O119" t="s">
        <v>1292</v>
      </c>
      <c r="P119" t="s">
        <v>1169</v>
      </c>
      <c r="Q119" t="str">
        <f>HYPERLINK(".\links\SWISSP\TI-207-SWISSP.txt","SWISSP")</f>
        <v>SWISSP</v>
      </c>
      <c r="R119" s="3">
        <v>6.9999999999999999E-35</v>
      </c>
      <c r="S119">
        <v>98</v>
      </c>
      <c r="T119" t="str">
        <f>HYPERLINK(".\links\NR-LIGHT\TI-207-NR-LIGHT.txt","similar to ribosomal protein S21e")</f>
        <v>similar to ribosomal protein S21e</v>
      </c>
      <c r="U119" t="str">
        <f>HYPERLINK("http://www.ncbi.nlm.nih.gov/sutils/blink.cgi?pid=91093173","1E-034")</f>
        <v>1E-034</v>
      </c>
      <c r="V119" t="str">
        <f>HYPERLINK("http://www.ncbi.nlm.nih.gov/protein/91093173","gi|91093173")</f>
        <v>gi|91093173</v>
      </c>
      <c r="W119">
        <v>147</v>
      </c>
      <c r="X119">
        <v>82</v>
      </c>
      <c r="Y119">
        <v>83</v>
      </c>
      <c r="Z119">
        <v>81</v>
      </c>
      <c r="AA119">
        <v>100</v>
      </c>
      <c r="AB119">
        <v>15</v>
      </c>
      <c r="AC119">
        <v>0</v>
      </c>
      <c r="AD119">
        <v>1</v>
      </c>
      <c r="AE119">
        <v>1</v>
      </c>
      <c r="AF119">
        <v>1</v>
      </c>
      <c r="AG119"/>
      <c r="AH119" t="s">
        <v>13</v>
      </c>
      <c r="AI119" t="s">
        <v>51</v>
      </c>
      <c r="AJ119" t="s">
        <v>266</v>
      </c>
      <c r="AK119" t="str">
        <f>HYPERLINK(".\links\SWISSP\TI-207-SWISSP.txt","40S ribosomal protein S21 OS=Spodoptera frugiperda GN=RpS21 PE=3 SV=1")</f>
        <v>40S ribosomal protein S21 OS=Spodoptera frugiperda GN=RpS21 PE=3 SV=1</v>
      </c>
      <c r="AL119" t="str">
        <f>HYPERLINK("http://www.uniprot.org/uniprot/Q962Q8","7E-035")</f>
        <v>7E-035</v>
      </c>
      <c r="AM119" t="s">
        <v>57</v>
      </c>
      <c r="AN119">
        <v>145</v>
      </c>
      <c r="AO119">
        <v>81</v>
      </c>
      <c r="AP119">
        <v>83</v>
      </c>
      <c r="AQ119">
        <v>80</v>
      </c>
      <c r="AR119">
        <v>99</v>
      </c>
      <c r="AS119">
        <v>16</v>
      </c>
      <c r="AT119">
        <v>0</v>
      </c>
      <c r="AU119">
        <v>1</v>
      </c>
      <c r="AV119">
        <v>1</v>
      </c>
      <c r="AW119">
        <v>1</v>
      </c>
      <c r="AX119" t="s">
        <v>58</v>
      </c>
      <c r="AY119" t="str">
        <f>HYPERLINK(".\links\PREV-RHOD-PEP\TI-207-PREV-RHOD-PEP.txt","Contig17739_5")</f>
        <v>Contig17739_5</v>
      </c>
      <c r="AZ119" s="3">
        <v>3.0000000000000003E-42</v>
      </c>
      <c r="BA119" t="s">
        <v>988</v>
      </c>
      <c r="BB119">
        <v>166</v>
      </c>
      <c r="BC119">
        <v>80</v>
      </c>
      <c r="BD119">
        <v>81</v>
      </c>
      <c r="BE119">
        <v>97</v>
      </c>
      <c r="BF119">
        <v>100</v>
      </c>
      <c r="BG119">
        <v>2</v>
      </c>
      <c r="BH119">
        <v>0</v>
      </c>
      <c r="BI119">
        <v>1</v>
      </c>
      <c r="BJ119">
        <v>1</v>
      </c>
      <c r="BK119">
        <v>1</v>
      </c>
      <c r="BL119" t="s">
        <v>355</v>
      </c>
      <c r="BM119">
        <f>HYPERLINK(".\links\GO\TI-207-GO.txt",5E-33)</f>
        <v>5.0000000000000003E-33</v>
      </c>
      <c r="BN119" t="s">
        <v>329</v>
      </c>
      <c r="BO119" t="s">
        <v>330</v>
      </c>
      <c r="BP119" t="s">
        <v>331</v>
      </c>
      <c r="BQ119" t="s">
        <v>332</v>
      </c>
      <c r="BR119" s="3">
        <v>5.0000000000000003E-33</v>
      </c>
      <c r="BS119" t="s">
        <v>356</v>
      </c>
      <c r="BT119" t="s">
        <v>323</v>
      </c>
      <c r="BU119" t="s">
        <v>334</v>
      </c>
      <c r="BV119" t="s">
        <v>357</v>
      </c>
      <c r="BW119" s="3">
        <v>5.0000000000000003E-33</v>
      </c>
      <c r="BX119" t="s">
        <v>358</v>
      </c>
      <c r="BY119" t="s">
        <v>330</v>
      </c>
      <c r="BZ119" t="s">
        <v>331</v>
      </c>
      <c r="CA119" t="s">
        <v>359</v>
      </c>
      <c r="CB119" s="3">
        <v>5.0000000000000003E-33</v>
      </c>
      <c r="CC119" t="s">
        <v>8</v>
      </c>
      <c r="CD119"/>
      <c r="CE119"/>
      <c r="CF119" t="s">
        <v>8</v>
      </c>
      <c r="CG119"/>
      <c r="CH119"/>
      <c r="CI119" t="s">
        <v>8</v>
      </c>
      <c r="CJ119"/>
      <c r="CK119" t="s">
        <v>8</v>
      </c>
      <c r="CL119"/>
      <c r="CM119" t="s">
        <v>8</v>
      </c>
      <c r="CN119"/>
      <c r="CO119" t="s">
        <v>8</v>
      </c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 t="s">
        <v>8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</row>
    <row r="120" spans="1:120" s="6" customFormat="1">
      <c r="A120" t="str">
        <f>HYPERLINK(".\links\pep\TI-209-pep.txt","TI-209")</f>
        <v>TI-209</v>
      </c>
      <c r="B120">
        <v>209</v>
      </c>
      <c r="C120" t="s">
        <v>22</v>
      </c>
      <c r="D120">
        <v>66</v>
      </c>
      <c r="E120">
        <v>0</v>
      </c>
      <c r="F120" t="str">
        <f>HYPERLINK(".\links\cds\TI-209-cds.txt","TI-209")</f>
        <v>TI-209</v>
      </c>
      <c r="G120">
        <v>201</v>
      </c>
      <c r="H120"/>
      <c r="I120" t="s">
        <v>8</v>
      </c>
      <c r="J120" t="s">
        <v>6</v>
      </c>
      <c r="K120">
        <v>0</v>
      </c>
      <c r="L120">
        <v>2</v>
      </c>
      <c r="M120">
        <f t="shared" si="4"/>
        <v>-2</v>
      </c>
      <c r="N120">
        <f t="shared" si="5"/>
        <v>2</v>
      </c>
      <c r="O120" t="s">
        <v>1293</v>
      </c>
      <c r="P120" t="s">
        <v>1178</v>
      </c>
      <c r="Q120" t="str">
        <f>HYPERLINK(".\links\NR-LIGHT\TI-209-NR-LIGHT.txt","NR-LIGHT")</f>
        <v>NR-LIGHT</v>
      </c>
      <c r="R120" s="3">
        <v>4.0000000000000002E-26</v>
      </c>
      <c r="S120">
        <v>50.4</v>
      </c>
      <c r="T120" t="str">
        <f>HYPERLINK(".\links\NR-LIGHT\TI-209-NR-LIGHT.txt","Senescence-associated protein")</f>
        <v>Senescence-associated protein</v>
      </c>
      <c r="U120" t="str">
        <f>HYPERLINK("http://www.ncbi.nlm.nih.gov/sutils/blink.cgi?pid=170591136","4E-026")</f>
        <v>4E-026</v>
      </c>
      <c r="V120" t="str">
        <f>HYPERLINK("http://www.ncbi.nlm.nih.gov/protein/170591136","gi|170591136")</f>
        <v>gi|170591136</v>
      </c>
      <c r="W120">
        <v>119</v>
      </c>
      <c r="X120">
        <v>60</v>
      </c>
      <c r="Y120">
        <v>121</v>
      </c>
      <c r="Z120">
        <v>90</v>
      </c>
      <c r="AA120">
        <v>50</v>
      </c>
      <c r="AB120">
        <v>6</v>
      </c>
      <c r="AC120">
        <v>0</v>
      </c>
      <c r="AD120">
        <v>1</v>
      </c>
      <c r="AE120">
        <v>1</v>
      </c>
      <c r="AF120">
        <v>1</v>
      </c>
      <c r="AG120"/>
      <c r="AH120" t="s">
        <v>13</v>
      </c>
      <c r="AI120" t="s">
        <v>51</v>
      </c>
      <c r="AJ120" t="s">
        <v>284</v>
      </c>
      <c r="AK120" t="s">
        <v>8</v>
      </c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 t="str">
        <f>HYPERLINK(".\links\PREV-RHOD-PEP\TI-209-PREV-RHOD-PEP.txt","Contig8150_1")</f>
        <v>Contig8150_1</v>
      </c>
      <c r="AZ120" s="3">
        <v>4.0000000000000003E-15</v>
      </c>
      <c r="BA120" t="s">
        <v>1077</v>
      </c>
      <c r="BB120">
        <v>76.3</v>
      </c>
      <c r="BC120">
        <v>34</v>
      </c>
      <c r="BD120">
        <v>35</v>
      </c>
      <c r="BE120">
        <v>100</v>
      </c>
      <c r="BF120">
        <v>100</v>
      </c>
      <c r="BG120">
        <v>0</v>
      </c>
      <c r="BH120">
        <v>0</v>
      </c>
      <c r="BI120">
        <v>1</v>
      </c>
      <c r="BJ120">
        <v>32</v>
      </c>
      <c r="BK120">
        <v>1</v>
      </c>
      <c r="BL120" t="s">
        <v>8</v>
      </c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 t="s">
        <v>8</v>
      </c>
      <c r="CD120"/>
      <c r="CE120"/>
      <c r="CF120" t="s">
        <v>8</v>
      </c>
      <c r="CG120"/>
      <c r="CH120"/>
      <c r="CI120" t="s">
        <v>8</v>
      </c>
      <c r="CJ120"/>
      <c r="CK120" t="s">
        <v>8</v>
      </c>
      <c r="CL120"/>
      <c r="CM120" t="s">
        <v>8</v>
      </c>
      <c r="CN120"/>
      <c r="CO120" t="s">
        <v>8</v>
      </c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 t="str">
        <f>HYPERLINK(".\links\RRNA\TI-209-RRNA.txt","Spirometra erinacei 28S rRNA, partial sequence, clone:S02SEP")</f>
        <v>Spirometra erinacei 28S rRNA, partial sequence, clone:S02SEP</v>
      </c>
      <c r="DD120" t="str">
        <f>HYPERLINK("http://www.ncbi.nlm.nih.gov/entrez/viewer.fcgi?db=nucleotide&amp;val=4958943","8E-096")</f>
        <v>8E-096</v>
      </c>
      <c r="DE120" t="str">
        <f>HYPERLINK("http://www.ncbi.nlm.nih.gov/entrez/viewer.fcgi?db=nucleotide&amp;val=4958943","gi|4958943")</f>
        <v>gi|4958943</v>
      </c>
      <c r="DF120">
        <v>347</v>
      </c>
      <c r="DG120">
        <v>198</v>
      </c>
      <c r="DH120">
        <v>718</v>
      </c>
      <c r="DI120">
        <v>96</v>
      </c>
      <c r="DJ120">
        <v>28</v>
      </c>
      <c r="DK120">
        <v>6</v>
      </c>
      <c r="DL120">
        <v>0</v>
      </c>
      <c r="DM120">
        <v>278</v>
      </c>
      <c r="DN120">
        <v>1</v>
      </c>
      <c r="DO120">
        <v>1</v>
      </c>
      <c r="DP120" t="s">
        <v>51</v>
      </c>
    </row>
    <row r="121" spans="1:120" s="6" customFormat="1">
      <c r="A121" t="str">
        <f>HYPERLINK(".\links\pep\TI-211-pep.txt","TI-211")</f>
        <v>TI-211</v>
      </c>
      <c r="B121">
        <v>211</v>
      </c>
      <c r="C121" t="s">
        <v>13</v>
      </c>
      <c r="D121">
        <v>229</v>
      </c>
      <c r="E121">
        <v>0</v>
      </c>
      <c r="F121" t="str">
        <f>HYPERLINK(".\links\cds\TI-211-cds.txt","TI-211")</f>
        <v>TI-211</v>
      </c>
      <c r="G121">
        <v>686</v>
      </c>
      <c r="H121"/>
      <c r="I121" t="s">
        <v>8</v>
      </c>
      <c r="J121" t="s">
        <v>8</v>
      </c>
      <c r="K121">
        <v>1</v>
      </c>
      <c r="L121">
        <v>0</v>
      </c>
      <c r="M121">
        <f t="shared" ref="M121:M158" si="6">K121-L121</f>
        <v>1</v>
      </c>
      <c r="N121">
        <f t="shared" ref="N121:N158" si="7">ABS(K121-L121)</f>
        <v>1</v>
      </c>
      <c r="O121" t="s">
        <v>1294</v>
      </c>
      <c r="P121" t="s">
        <v>1295</v>
      </c>
      <c r="Q121" t="str">
        <f>HYPERLINK(".\links\GO\TI-211-GO.txt","GO")</f>
        <v>GO</v>
      </c>
      <c r="R121" s="3">
        <v>4.9999999999999995E-97</v>
      </c>
      <c r="S121">
        <v>28.1</v>
      </c>
      <c r="T121" t="str">
        <f>HYPERLINK(".\links\NR-LIGHT\TI-211-NR-LIGHT.txt","AGAP011055-PA")</f>
        <v>AGAP011055-PA</v>
      </c>
      <c r="U121" t="str">
        <f>HYPERLINK("http://www.ncbi.nlm.nih.gov/sutils/blink.cgi?pid=158285039","1E-103")</f>
        <v>1E-103</v>
      </c>
      <c r="V121" t="str">
        <f>HYPERLINK("http://www.ncbi.nlm.nih.gov/protein/158285039","gi|158285039")</f>
        <v>gi|158285039</v>
      </c>
      <c r="W121">
        <v>377</v>
      </c>
      <c r="X121">
        <v>220</v>
      </c>
      <c r="Y121">
        <v>954</v>
      </c>
      <c r="Z121">
        <v>78</v>
      </c>
      <c r="AA121">
        <v>23</v>
      </c>
      <c r="AB121">
        <v>47</v>
      </c>
      <c r="AC121">
        <v>0</v>
      </c>
      <c r="AD121">
        <v>641</v>
      </c>
      <c r="AE121">
        <v>9</v>
      </c>
      <c r="AF121">
        <v>1</v>
      </c>
      <c r="AG121"/>
      <c r="AH121" t="s">
        <v>13</v>
      </c>
      <c r="AI121" t="s">
        <v>51</v>
      </c>
      <c r="AJ121" t="s">
        <v>275</v>
      </c>
      <c r="AK121" t="str">
        <f>HYPERLINK(".\links\SWISSP\TI-211-SWISSP.txt","Cyclin-dependent kinase 11B OS=Homo sapiens GN=CDK11B PE=1 SV=3")</f>
        <v>Cyclin-dependent kinase 11B OS=Homo sapiens GN=CDK11B PE=1 SV=3</v>
      </c>
      <c r="AL121" t="str">
        <f>HYPERLINK("http://www.uniprot.org/uniprot/P21127","2E-096")</f>
        <v>2E-096</v>
      </c>
      <c r="AM121" t="s">
        <v>162</v>
      </c>
      <c r="AN121">
        <v>352</v>
      </c>
      <c r="AO121">
        <v>217</v>
      </c>
      <c r="AP121">
        <v>795</v>
      </c>
      <c r="AQ121">
        <v>73</v>
      </c>
      <c r="AR121">
        <v>27</v>
      </c>
      <c r="AS121">
        <v>58</v>
      </c>
      <c r="AT121">
        <v>3</v>
      </c>
      <c r="AU121">
        <v>519</v>
      </c>
      <c r="AV121">
        <v>9</v>
      </c>
      <c r="AW121">
        <v>1</v>
      </c>
      <c r="AX121" t="s">
        <v>68</v>
      </c>
      <c r="AY121" t="str">
        <f>HYPERLINK(".\links\PREV-RHOD-PEP\TI-211-PREV-RHOD-PEP.txt","Contig17852_67")</f>
        <v>Contig17852_67</v>
      </c>
      <c r="AZ121" s="3">
        <v>9.9999999999999999E-133</v>
      </c>
      <c r="BA121" t="s">
        <v>1078</v>
      </c>
      <c r="BB121">
        <v>466</v>
      </c>
      <c r="BC121">
        <v>220</v>
      </c>
      <c r="BD121">
        <v>761</v>
      </c>
      <c r="BE121">
        <v>99</v>
      </c>
      <c r="BF121">
        <v>29</v>
      </c>
      <c r="BG121">
        <v>2</v>
      </c>
      <c r="BH121">
        <v>0</v>
      </c>
      <c r="BI121">
        <v>483</v>
      </c>
      <c r="BJ121">
        <v>9</v>
      </c>
      <c r="BK121">
        <v>1</v>
      </c>
      <c r="BL121" t="s">
        <v>703</v>
      </c>
      <c r="BM121">
        <f>HYPERLINK(".\links\GO\TI-211-GO.txt",3E-97)</f>
        <v>3.0000000000000002E-97</v>
      </c>
      <c r="BN121" t="s">
        <v>482</v>
      </c>
      <c r="BO121" t="s">
        <v>345</v>
      </c>
      <c r="BP121" t="s">
        <v>346</v>
      </c>
      <c r="BQ121" t="s">
        <v>483</v>
      </c>
      <c r="BR121" s="3">
        <v>1.9999999999999998E-96</v>
      </c>
      <c r="BS121" t="s">
        <v>447</v>
      </c>
      <c r="BT121" t="s">
        <v>323</v>
      </c>
      <c r="BU121" t="s">
        <v>334</v>
      </c>
      <c r="BV121" t="s">
        <v>448</v>
      </c>
      <c r="BW121" s="3">
        <v>1.9999999999999998E-96</v>
      </c>
      <c r="BX121" t="s">
        <v>704</v>
      </c>
      <c r="BY121" t="s">
        <v>345</v>
      </c>
      <c r="BZ121" t="s">
        <v>346</v>
      </c>
      <c r="CA121" t="s">
        <v>705</v>
      </c>
      <c r="CB121" s="3">
        <v>1.9999999999999998E-96</v>
      </c>
      <c r="CC121" t="s">
        <v>8</v>
      </c>
      <c r="CD121"/>
      <c r="CE121"/>
      <c r="CF121" t="s">
        <v>8</v>
      </c>
      <c r="CG121"/>
      <c r="CH121"/>
      <c r="CI121" t="s">
        <v>8</v>
      </c>
      <c r="CJ121"/>
      <c r="CK121" t="s">
        <v>8</v>
      </c>
      <c r="CL121"/>
      <c r="CM121" t="s">
        <v>8</v>
      </c>
      <c r="CN121"/>
      <c r="CO121" t="s">
        <v>8</v>
      </c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 t="s">
        <v>8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</row>
    <row r="122" spans="1:120" s="6" customFormat="1">
      <c r="A122" t="str">
        <f>HYPERLINK(".\links\pep\TI-214-pep.txt","TI-214")</f>
        <v>TI-214</v>
      </c>
      <c r="B122">
        <v>214</v>
      </c>
      <c r="C122" t="s">
        <v>7</v>
      </c>
      <c r="D122">
        <v>127</v>
      </c>
      <c r="E122">
        <v>0</v>
      </c>
      <c r="F122" t="str">
        <f>HYPERLINK(".\links\cds\TI-214-cds.txt","TI-214")</f>
        <v>TI-214</v>
      </c>
      <c r="G122">
        <v>384</v>
      </c>
      <c r="H122"/>
      <c r="I122" t="s">
        <v>29</v>
      </c>
      <c r="J122" t="s">
        <v>6</v>
      </c>
      <c r="K122">
        <v>3</v>
      </c>
      <c r="L122">
        <v>2</v>
      </c>
      <c r="M122">
        <f t="shared" si="6"/>
        <v>1</v>
      </c>
      <c r="N122">
        <f t="shared" si="7"/>
        <v>1</v>
      </c>
      <c r="O122" t="s">
        <v>1204</v>
      </c>
      <c r="P122" t="s">
        <v>1178</v>
      </c>
      <c r="Q122" t="str">
        <f>HYPERLINK(".\links\NR-LIGHT\TI-214-NR-LIGHT.txt","NR-LIGHT")</f>
        <v>NR-LIGHT</v>
      </c>
      <c r="R122">
        <v>2E-14</v>
      </c>
      <c r="S122">
        <v>85.5</v>
      </c>
      <c r="T122" t="str">
        <f>HYPERLINK(".\links\NR-LIGHT\TI-214-NR-LIGHT.txt","putative fatbody protein 3Rev-G1")</f>
        <v>putative fatbody protein 3Rev-G1</v>
      </c>
      <c r="U122" t="str">
        <f>HYPERLINK("http://www.ncbi.nlm.nih.gov/sutils/blink.cgi?pid=306518634","2E-014")</f>
        <v>2E-014</v>
      </c>
      <c r="V122" t="str">
        <f>HYPERLINK("http://www.ncbi.nlm.nih.gov/protein/306518634","gi|306518634")</f>
        <v>gi|306518634</v>
      </c>
      <c r="W122">
        <v>80.099999999999994</v>
      </c>
      <c r="X122">
        <v>100</v>
      </c>
      <c r="Y122">
        <v>118</v>
      </c>
      <c r="Z122">
        <v>41</v>
      </c>
      <c r="AA122">
        <v>86</v>
      </c>
      <c r="AB122">
        <v>59</v>
      </c>
      <c r="AC122">
        <v>0</v>
      </c>
      <c r="AD122">
        <v>17</v>
      </c>
      <c r="AE122">
        <v>27</v>
      </c>
      <c r="AF122">
        <v>1</v>
      </c>
      <c r="AG122"/>
      <c r="AH122" t="s">
        <v>13</v>
      </c>
      <c r="AI122" t="s">
        <v>51</v>
      </c>
      <c r="AJ122" t="s">
        <v>54</v>
      </c>
      <c r="AK122" t="s">
        <v>8</v>
      </c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 t="str">
        <f>HYPERLINK(".\links\PREV-RHOD-PEP\TI-214-PREV-RHOD-PEP.txt","Contig17940_72")</f>
        <v>Contig17940_72</v>
      </c>
      <c r="AZ122" s="3">
        <v>3.0000000000000003E-39</v>
      </c>
      <c r="BA122" t="s">
        <v>1079</v>
      </c>
      <c r="BB122">
        <v>156</v>
      </c>
      <c r="BC122">
        <v>106</v>
      </c>
      <c r="BD122">
        <v>126</v>
      </c>
      <c r="BE122">
        <v>68</v>
      </c>
      <c r="BF122">
        <v>85</v>
      </c>
      <c r="BG122">
        <v>34</v>
      </c>
      <c r="BH122">
        <v>1</v>
      </c>
      <c r="BI122">
        <v>20</v>
      </c>
      <c r="BJ122">
        <v>20</v>
      </c>
      <c r="BK122">
        <v>1</v>
      </c>
      <c r="BL122" t="s">
        <v>8</v>
      </c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 t="s">
        <v>8</v>
      </c>
      <c r="CD122"/>
      <c r="CE122"/>
      <c r="CF122" t="s">
        <v>8</v>
      </c>
      <c r="CG122"/>
      <c r="CH122"/>
      <c r="CI122" t="s">
        <v>8</v>
      </c>
      <c r="CJ122"/>
      <c r="CK122" t="s">
        <v>8</v>
      </c>
      <c r="CL122"/>
      <c r="CM122" t="s">
        <v>8</v>
      </c>
      <c r="CN122"/>
      <c r="CO122" t="s">
        <v>8</v>
      </c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 t="s">
        <v>8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</row>
    <row r="123" spans="1:120" s="6" customFormat="1">
      <c r="A123" t="str">
        <f>HYPERLINK(".\links\pep\TI-215-pep.txt","TI-215")</f>
        <v>TI-215</v>
      </c>
      <c r="B123">
        <v>215</v>
      </c>
      <c r="C123" t="s">
        <v>7</v>
      </c>
      <c r="D123">
        <v>69</v>
      </c>
      <c r="E123" s="2">
        <v>33.333329999999997</v>
      </c>
      <c r="F123" t="str">
        <f>HYPERLINK(".\links\cds\TI-215-cds.txt","TI-215")</f>
        <v>TI-215</v>
      </c>
      <c r="G123">
        <v>210</v>
      </c>
      <c r="H123" t="s">
        <v>24</v>
      </c>
      <c r="I123" t="s">
        <v>29</v>
      </c>
      <c r="J123" t="s">
        <v>6</v>
      </c>
      <c r="K123">
        <v>0</v>
      </c>
      <c r="L123">
        <v>2</v>
      </c>
      <c r="M123">
        <f t="shared" si="6"/>
        <v>-2</v>
      </c>
      <c r="N123">
        <f t="shared" si="7"/>
        <v>2</v>
      </c>
      <c r="O123" t="s">
        <v>1296</v>
      </c>
      <c r="P123" t="s">
        <v>1178</v>
      </c>
      <c r="Q123" t="str">
        <f>HYPERLINK(".\links\SWISSP\TI-215-SWISSP.txt","SWISSP")</f>
        <v>SWISSP</v>
      </c>
      <c r="R123">
        <v>9.9999999999999998E-13</v>
      </c>
      <c r="S123">
        <v>29.3</v>
      </c>
      <c r="T123" t="str">
        <f>HYPERLINK(".\links\NR-LIGHT\TI-215-NR-LIGHT.txt","profilin")</f>
        <v>profilin</v>
      </c>
      <c r="U123" t="str">
        <f>HYPERLINK("http://www.ncbi.nlm.nih.gov/sutils/blink.cgi?pid=147902613","6E-012")</f>
        <v>6E-012</v>
      </c>
      <c r="V123" t="str">
        <f>HYPERLINK("http://www.ncbi.nlm.nih.gov/protein/147902613","gi|147902613")</f>
        <v>gi|147902613</v>
      </c>
      <c r="W123">
        <v>71.599999999999994</v>
      </c>
      <c r="X123">
        <v>36</v>
      </c>
      <c r="Y123">
        <v>126</v>
      </c>
      <c r="Z123">
        <v>86</v>
      </c>
      <c r="AA123">
        <v>29</v>
      </c>
      <c r="AB123">
        <v>5</v>
      </c>
      <c r="AC123">
        <v>0</v>
      </c>
      <c r="AD123">
        <v>1</v>
      </c>
      <c r="AE123">
        <v>1</v>
      </c>
      <c r="AF123">
        <v>1</v>
      </c>
      <c r="AG123"/>
      <c r="AH123" t="s">
        <v>13</v>
      </c>
      <c r="AI123" t="s">
        <v>51</v>
      </c>
      <c r="AJ123" t="s">
        <v>83</v>
      </c>
      <c r="AK123" t="str">
        <f>HYPERLINK(".\links\SWISSP\TI-215-SWISSP.txt","Profilin OS=Bombyx mori PE=2 SV=1")</f>
        <v>Profilin OS=Bombyx mori PE=2 SV=1</v>
      </c>
      <c r="AL123" t="str">
        <f>HYPERLINK("http://www.uniprot.org/uniprot/Q68HB4","1E-012")</f>
        <v>1E-012</v>
      </c>
      <c r="AM123" t="s">
        <v>53</v>
      </c>
      <c r="AN123">
        <v>71.599999999999994</v>
      </c>
      <c r="AO123">
        <v>36</v>
      </c>
      <c r="AP123">
        <v>126</v>
      </c>
      <c r="AQ123">
        <v>83</v>
      </c>
      <c r="AR123">
        <v>29</v>
      </c>
      <c r="AS123">
        <v>6</v>
      </c>
      <c r="AT123">
        <v>0</v>
      </c>
      <c r="AU123">
        <v>1</v>
      </c>
      <c r="AV123">
        <v>1</v>
      </c>
      <c r="AW123">
        <v>1</v>
      </c>
      <c r="AX123" t="s">
        <v>54</v>
      </c>
      <c r="AY123" t="str">
        <f>HYPERLINK(".\links\PREV-RHOD-PEP\TI-215-PREV-RHOD-PEP.txt","Contig17157_5")</f>
        <v>Contig17157_5</v>
      </c>
      <c r="AZ123" s="3">
        <v>2.0000000000000002E-15</v>
      </c>
      <c r="BA123" t="s">
        <v>985</v>
      </c>
      <c r="BB123">
        <v>77.400000000000006</v>
      </c>
      <c r="BC123">
        <v>36</v>
      </c>
      <c r="BD123">
        <v>126</v>
      </c>
      <c r="BE123">
        <v>94</v>
      </c>
      <c r="BF123">
        <v>29</v>
      </c>
      <c r="BG123">
        <v>2</v>
      </c>
      <c r="BH123">
        <v>0</v>
      </c>
      <c r="BI123">
        <v>1</v>
      </c>
      <c r="BJ123">
        <v>1</v>
      </c>
      <c r="BK123">
        <v>1</v>
      </c>
      <c r="BL123" t="s">
        <v>338</v>
      </c>
      <c r="BM123">
        <f>HYPERLINK(".\links\GO\TI-215-GO.txt",0.00000000003)</f>
        <v>3E-11</v>
      </c>
      <c r="BN123" t="s">
        <v>339</v>
      </c>
      <c r="BO123" t="s">
        <v>340</v>
      </c>
      <c r="BP123" t="s">
        <v>341</v>
      </c>
      <c r="BQ123" t="s">
        <v>342</v>
      </c>
      <c r="BR123">
        <v>3E-11</v>
      </c>
      <c r="BS123" t="s">
        <v>8</v>
      </c>
      <c r="BT123" t="s">
        <v>8</v>
      </c>
      <c r="BU123" t="s">
        <v>8</v>
      </c>
      <c r="BV123" t="s">
        <v>8</v>
      </c>
      <c r="BW123" t="s">
        <v>8</v>
      </c>
      <c r="BX123" t="s">
        <v>343</v>
      </c>
      <c r="BY123" t="s">
        <v>340</v>
      </c>
      <c r="BZ123" t="s">
        <v>341</v>
      </c>
      <c r="CA123" t="s">
        <v>344</v>
      </c>
      <c r="CB123">
        <v>3E-11</v>
      </c>
      <c r="CC123" t="s">
        <v>8</v>
      </c>
      <c r="CD123"/>
      <c r="CE123"/>
      <c r="CF123" t="s">
        <v>8</v>
      </c>
      <c r="CG123"/>
      <c r="CH123"/>
      <c r="CI123" t="s">
        <v>8</v>
      </c>
      <c r="CJ123"/>
      <c r="CK123" t="s">
        <v>8</v>
      </c>
      <c r="CL123"/>
      <c r="CM123" t="s">
        <v>8</v>
      </c>
      <c r="CN123"/>
      <c r="CO123" t="s">
        <v>8</v>
      </c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 t="s">
        <v>8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</row>
    <row r="124" spans="1:120" s="6" customFormat="1">
      <c r="A124" t="str">
        <f>HYPERLINK(".\links\pep\TI-216-pep.txt","TI-216")</f>
        <v>TI-216</v>
      </c>
      <c r="B124">
        <v>216</v>
      </c>
      <c r="C124" t="s">
        <v>7</v>
      </c>
      <c r="D124">
        <v>58</v>
      </c>
      <c r="E124">
        <v>0</v>
      </c>
      <c r="F124" t="str">
        <f>HYPERLINK(".\links\cds\TI-216-cds.txt","TI-216")</f>
        <v>TI-216</v>
      </c>
      <c r="G124">
        <v>177</v>
      </c>
      <c r="H124"/>
      <c r="I124" t="s">
        <v>29</v>
      </c>
      <c r="J124" t="s">
        <v>6</v>
      </c>
      <c r="K124">
        <v>0</v>
      </c>
      <c r="L124">
        <v>2</v>
      </c>
      <c r="M124">
        <f t="shared" si="6"/>
        <v>-2</v>
      </c>
      <c r="N124">
        <f t="shared" si="7"/>
        <v>2</v>
      </c>
      <c r="O124" t="s">
        <v>1205</v>
      </c>
      <c r="P124" t="s">
        <v>1178</v>
      </c>
      <c r="Q124" t="str">
        <f>HYPERLINK(".\links\NR-LIGHT\TI-216-NR-LIGHT.txt","NR-LIGHT")</f>
        <v>NR-LIGHT</v>
      </c>
      <c r="R124" s="3">
        <v>4.0000000000000002E-26</v>
      </c>
      <c r="S124">
        <v>100</v>
      </c>
      <c r="T124" t="str">
        <f>HYPERLINK(".\links\NR-LIGHT\TI-216-NR-LIGHT.txt","hypothetical protein")</f>
        <v>hypothetical protein</v>
      </c>
      <c r="U124" t="str">
        <f>HYPERLINK("http://www.ncbi.nlm.nih.gov/sutils/blink.cgi?pid=111379887","4E-026")</f>
        <v>4E-026</v>
      </c>
      <c r="V124" t="str">
        <f>HYPERLINK("http://www.ncbi.nlm.nih.gov/protein/111379887","gi|111379887")</f>
        <v>gi|111379887</v>
      </c>
      <c r="W124">
        <v>119</v>
      </c>
      <c r="X124">
        <v>57</v>
      </c>
      <c r="Y124">
        <v>58</v>
      </c>
      <c r="Z124">
        <v>96</v>
      </c>
      <c r="AA124">
        <v>100</v>
      </c>
      <c r="AB124">
        <v>2</v>
      </c>
      <c r="AC124">
        <v>0</v>
      </c>
      <c r="AD124">
        <v>1</v>
      </c>
      <c r="AE124">
        <v>1</v>
      </c>
      <c r="AF124">
        <v>1</v>
      </c>
      <c r="AG124"/>
      <c r="AH124" t="s">
        <v>13</v>
      </c>
      <c r="AI124" t="s">
        <v>51</v>
      </c>
      <c r="AJ124" t="s">
        <v>285</v>
      </c>
      <c r="AK124" t="s">
        <v>8</v>
      </c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 t="str">
        <f>HYPERLINK(".\links\PREV-RHOD-PEP\TI-216-PREV-RHOD-PEP.txt","Contig17907_20")</f>
        <v>Contig17907_20</v>
      </c>
      <c r="AZ124" s="3">
        <v>9.9999999999999996E-24</v>
      </c>
      <c r="BA124" t="s">
        <v>1080</v>
      </c>
      <c r="BB124">
        <v>104</v>
      </c>
      <c r="BC124">
        <v>58</v>
      </c>
      <c r="BD124">
        <v>95</v>
      </c>
      <c r="BE124">
        <v>79</v>
      </c>
      <c r="BF124">
        <v>62</v>
      </c>
      <c r="BG124">
        <v>12</v>
      </c>
      <c r="BH124">
        <v>1</v>
      </c>
      <c r="BI124">
        <v>37</v>
      </c>
      <c r="BJ124">
        <v>1</v>
      </c>
      <c r="BK124">
        <v>1</v>
      </c>
      <c r="BL124" t="s">
        <v>706</v>
      </c>
      <c r="BM124">
        <f>HYPERLINK(".\links\GO\TI-216-GO.txt",0.00000004)</f>
        <v>4.0000000000000001E-8</v>
      </c>
      <c r="BN124" t="s">
        <v>8</v>
      </c>
      <c r="BO124" t="s">
        <v>8</v>
      </c>
      <c r="BP124" t="s">
        <v>8</v>
      </c>
      <c r="BQ124" t="s">
        <v>8</v>
      </c>
      <c r="BR124" t="s">
        <v>8</v>
      </c>
      <c r="BS124" t="s">
        <v>707</v>
      </c>
      <c r="BT124" t="s">
        <v>323</v>
      </c>
      <c r="BU124" t="s">
        <v>334</v>
      </c>
      <c r="BV124" t="s">
        <v>708</v>
      </c>
      <c r="BW124">
        <v>4.0000000000000001E-8</v>
      </c>
      <c r="BX124" t="s">
        <v>8</v>
      </c>
      <c r="BY124" t="s">
        <v>8</v>
      </c>
      <c r="BZ124" t="s">
        <v>8</v>
      </c>
      <c r="CA124" t="s">
        <v>8</v>
      </c>
      <c r="CB124" t="s">
        <v>8</v>
      </c>
      <c r="CC124" t="s">
        <v>8</v>
      </c>
      <c r="CD124"/>
      <c r="CE124"/>
      <c r="CF124" t="s">
        <v>8</v>
      </c>
      <c r="CG124"/>
      <c r="CH124"/>
      <c r="CI124" t="s">
        <v>8</v>
      </c>
      <c r="CJ124"/>
      <c r="CK124" t="s">
        <v>8</v>
      </c>
      <c r="CL124"/>
      <c r="CM124" t="s">
        <v>8</v>
      </c>
      <c r="CN124"/>
      <c r="CO124" t="s">
        <v>8</v>
      </c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 t="s">
        <v>8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</row>
    <row r="125" spans="1:120" s="6" customFormat="1">
      <c r="A125" t="str">
        <f>HYPERLINK(".\links\pep\TI-217-pep.txt","TI-217")</f>
        <v>TI-217</v>
      </c>
      <c r="B125">
        <v>217</v>
      </c>
      <c r="C125" t="s">
        <v>22</v>
      </c>
      <c r="D125">
        <v>180</v>
      </c>
      <c r="E125">
        <v>0</v>
      </c>
      <c r="F125" t="str">
        <f>HYPERLINK(".\links\cds\TI-217-cds.txt","TI-217")</f>
        <v>TI-217</v>
      </c>
      <c r="G125">
        <v>538</v>
      </c>
      <c r="H125"/>
      <c r="I125" t="s">
        <v>8</v>
      </c>
      <c r="J125" t="s">
        <v>8</v>
      </c>
      <c r="K125">
        <v>0</v>
      </c>
      <c r="L125">
        <v>3</v>
      </c>
      <c r="M125">
        <f t="shared" si="6"/>
        <v>-3</v>
      </c>
      <c r="N125">
        <f t="shared" si="7"/>
        <v>3</v>
      </c>
      <c r="O125" t="s">
        <v>1216</v>
      </c>
      <c r="P125" t="s">
        <v>1203</v>
      </c>
      <c r="Q125" t="str">
        <f>HYPERLINK(".\links\NR-LIGHT\TI-217-NR-LIGHT.txt","NR-LIGHT")</f>
        <v>NR-LIGHT</v>
      </c>
      <c r="R125" s="3">
        <v>1.9999999999999999E-39</v>
      </c>
      <c r="S125">
        <v>39</v>
      </c>
      <c r="T125" t="str">
        <f>HYPERLINK(".\links\NR-LIGHT\TI-217-NR-LIGHT.txt","truncated histone H1")</f>
        <v>truncated histone H1</v>
      </c>
      <c r="U125" t="str">
        <f>HYPERLINK("http://www.ncbi.nlm.nih.gov/sutils/blink.cgi?pid=149689210","2E-039")</f>
        <v>2E-039</v>
      </c>
      <c r="V125" t="str">
        <f>HYPERLINK("http://www.ncbi.nlm.nih.gov/protein/149689210","gi|149689210")</f>
        <v>gi|149689210</v>
      </c>
      <c r="W125">
        <v>163</v>
      </c>
      <c r="X125">
        <v>76</v>
      </c>
      <c r="Y125">
        <v>197</v>
      </c>
      <c r="Z125">
        <v>98</v>
      </c>
      <c r="AA125">
        <v>39</v>
      </c>
      <c r="AB125">
        <v>1</v>
      </c>
      <c r="AC125">
        <v>0</v>
      </c>
      <c r="AD125">
        <v>40</v>
      </c>
      <c r="AE125">
        <v>29</v>
      </c>
      <c r="AF125">
        <v>1</v>
      </c>
      <c r="AG125"/>
      <c r="AH125" t="s">
        <v>13</v>
      </c>
      <c r="AI125" t="s">
        <v>51</v>
      </c>
      <c r="AJ125" t="s">
        <v>273</v>
      </c>
      <c r="AK125" t="str">
        <f>HYPERLINK(".\links\SWISSP\TI-217-SWISSP.txt","Histone H1 OS=Drosophila melanogaster GN=His1 PE=1 SV=1")</f>
        <v>Histone H1 OS=Drosophila melanogaster GN=His1 PE=1 SV=1</v>
      </c>
      <c r="AL125" t="str">
        <f>HYPERLINK("http://www.uniprot.org/uniprot/P02255","3E-025")</f>
        <v>3E-025</v>
      </c>
      <c r="AM125" t="s">
        <v>163</v>
      </c>
      <c r="AN125">
        <v>114</v>
      </c>
      <c r="AO125">
        <v>74</v>
      </c>
      <c r="AP125">
        <v>256</v>
      </c>
      <c r="AQ125">
        <v>68</v>
      </c>
      <c r="AR125">
        <v>29</v>
      </c>
      <c r="AS125">
        <v>24</v>
      </c>
      <c r="AT125">
        <v>0</v>
      </c>
      <c r="AU125">
        <v>46</v>
      </c>
      <c r="AV125">
        <v>29</v>
      </c>
      <c r="AW125">
        <v>1</v>
      </c>
      <c r="AX125" t="s">
        <v>52</v>
      </c>
      <c r="AY125" t="str">
        <f>HYPERLINK(".\links\PREV-RHOD-PEP\TI-217-PREV-RHOD-PEP.txt","Contig18070_21")</f>
        <v>Contig18070_21</v>
      </c>
      <c r="AZ125" s="3">
        <v>1.0000000000000001E-37</v>
      </c>
      <c r="BA125" t="s">
        <v>1081</v>
      </c>
      <c r="BB125">
        <v>151</v>
      </c>
      <c r="BC125">
        <v>75</v>
      </c>
      <c r="BD125">
        <v>208</v>
      </c>
      <c r="BE125">
        <v>94</v>
      </c>
      <c r="BF125">
        <v>37</v>
      </c>
      <c r="BG125">
        <v>4</v>
      </c>
      <c r="BH125">
        <v>0</v>
      </c>
      <c r="BI125">
        <v>41</v>
      </c>
      <c r="BJ125">
        <v>29</v>
      </c>
      <c r="BK125">
        <v>1</v>
      </c>
      <c r="BL125" t="s">
        <v>709</v>
      </c>
      <c r="BM125">
        <f>HYPERLINK(".\links\GO\TI-217-GO.txt",8E-26)</f>
        <v>8.0000000000000003E-26</v>
      </c>
      <c r="BN125" t="s">
        <v>467</v>
      </c>
      <c r="BO125" t="s">
        <v>340</v>
      </c>
      <c r="BP125" t="s">
        <v>468</v>
      </c>
      <c r="BQ125" t="s">
        <v>469</v>
      </c>
      <c r="BR125" s="3">
        <v>8.0000000000000003E-26</v>
      </c>
      <c r="BS125" t="s">
        <v>447</v>
      </c>
      <c r="BT125" t="s">
        <v>323</v>
      </c>
      <c r="BU125" t="s">
        <v>334</v>
      </c>
      <c r="BV125" t="s">
        <v>448</v>
      </c>
      <c r="BW125" s="3">
        <v>8.0000000000000003E-26</v>
      </c>
      <c r="BX125" t="s">
        <v>710</v>
      </c>
      <c r="BY125" t="s">
        <v>340</v>
      </c>
      <c r="BZ125" t="s">
        <v>468</v>
      </c>
      <c r="CA125" t="s">
        <v>711</v>
      </c>
      <c r="CB125" s="3">
        <v>8.0000000000000003E-26</v>
      </c>
      <c r="CC125" t="s">
        <v>8</v>
      </c>
      <c r="CD125"/>
      <c r="CE125"/>
      <c r="CF125" t="s">
        <v>8</v>
      </c>
      <c r="CG125"/>
      <c r="CH125"/>
      <c r="CI125" t="s">
        <v>8</v>
      </c>
      <c r="CJ125"/>
      <c r="CK125" t="s">
        <v>8</v>
      </c>
      <c r="CL125"/>
      <c r="CM125" t="s">
        <v>8</v>
      </c>
      <c r="CN125"/>
      <c r="CO125" t="s">
        <v>8</v>
      </c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 t="s">
        <v>8</v>
      </c>
      <c r="DD125"/>
      <c r="DE125"/>
      <c r="DF125"/>
      <c r="DG125"/>
      <c r="DH125"/>
      <c r="DI125"/>
      <c r="DJ125"/>
      <c r="DK125"/>
      <c r="DL125"/>
      <c r="DM125"/>
      <c r="DN125"/>
      <c r="DO125"/>
      <c r="DP125"/>
    </row>
    <row r="126" spans="1:120" s="6" customFormat="1">
      <c r="A126" t="str">
        <f>HYPERLINK(".\links\pep\TI-218-pep.txt","TI-218")</f>
        <v>TI-218</v>
      </c>
      <c r="B126">
        <v>218</v>
      </c>
      <c r="C126" t="s">
        <v>20</v>
      </c>
      <c r="D126">
        <v>243</v>
      </c>
      <c r="E126">
        <v>0</v>
      </c>
      <c r="F126" t="str">
        <f>HYPERLINK(".\links\cds\TI-218-cds.txt","TI-218")</f>
        <v>TI-218</v>
      </c>
      <c r="G126">
        <v>728</v>
      </c>
      <c r="H126"/>
      <c r="I126" t="s">
        <v>8</v>
      </c>
      <c r="J126" t="s">
        <v>8</v>
      </c>
      <c r="K126">
        <v>2</v>
      </c>
      <c r="L126">
        <v>1</v>
      </c>
      <c r="M126">
        <f t="shared" si="6"/>
        <v>1</v>
      </c>
      <c r="N126">
        <f t="shared" si="7"/>
        <v>1</v>
      </c>
      <c r="O126" t="s">
        <v>1206</v>
      </c>
      <c r="P126" t="s">
        <v>1196</v>
      </c>
      <c r="Q126" t="str">
        <f>HYPERLINK(".\links\NR-LIGHT\TI-218-NR-LIGHT.txt","NR-LIGHT")</f>
        <v>NR-LIGHT</v>
      </c>
      <c r="R126" s="3">
        <v>3.0000000000000002E-47</v>
      </c>
      <c r="S126">
        <v>8</v>
      </c>
      <c r="T126" t="str">
        <f>HYPERLINK(".\links\NR-LIGHT\TI-218-NR-LIGHT.txt","polyprotein")</f>
        <v>polyprotein</v>
      </c>
      <c r="U126" t="str">
        <f>HYPERLINK("http://www.ncbi.nlm.nih.gov/sutils/blink.cgi?pid=297578409","3E-047")</f>
        <v>3E-047</v>
      </c>
      <c r="V126" t="str">
        <f>HYPERLINK("http://www.ncbi.nlm.nih.gov/protein/297578409","gi|297578409")</f>
        <v>gi|297578409</v>
      </c>
      <c r="W126">
        <v>190</v>
      </c>
      <c r="X126">
        <v>232</v>
      </c>
      <c r="Y126">
        <v>2964</v>
      </c>
      <c r="Z126">
        <v>42</v>
      </c>
      <c r="AA126">
        <v>8</v>
      </c>
      <c r="AB126">
        <v>136</v>
      </c>
      <c r="AC126">
        <v>12</v>
      </c>
      <c r="AD126">
        <v>903</v>
      </c>
      <c r="AE126">
        <v>10</v>
      </c>
      <c r="AF126">
        <v>1</v>
      </c>
      <c r="AG126"/>
      <c r="AH126" t="s">
        <v>13</v>
      </c>
      <c r="AI126" t="s">
        <v>51</v>
      </c>
      <c r="AJ126" t="s">
        <v>286</v>
      </c>
      <c r="AK126" t="s">
        <v>8</v>
      </c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 t="s">
        <v>8</v>
      </c>
      <c r="AZ126"/>
      <c r="BA126"/>
      <c r="BB126"/>
      <c r="BC126"/>
      <c r="BD126"/>
      <c r="BE126"/>
      <c r="BF126"/>
      <c r="BG126"/>
      <c r="BH126"/>
      <c r="BI126"/>
      <c r="BJ126"/>
      <c r="BK126"/>
      <c r="BL126" t="s">
        <v>8</v>
      </c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 t="s">
        <v>8</v>
      </c>
      <c r="CD126"/>
      <c r="CE126"/>
      <c r="CF126" t="s">
        <v>8</v>
      </c>
      <c r="CG126"/>
      <c r="CH126"/>
      <c r="CI126" t="s">
        <v>8</v>
      </c>
      <c r="CJ126"/>
      <c r="CK126" t="s">
        <v>8</v>
      </c>
      <c r="CL126"/>
      <c r="CM126" t="s">
        <v>8</v>
      </c>
      <c r="CN126"/>
      <c r="CO126" t="s">
        <v>8</v>
      </c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 t="s">
        <v>8</v>
      </c>
      <c r="DD126"/>
      <c r="DE126"/>
      <c r="DF126"/>
      <c r="DG126"/>
      <c r="DH126"/>
      <c r="DI126"/>
      <c r="DJ126"/>
      <c r="DK126"/>
      <c r="DL126"/>
      <c r="DM126"/>
      <c r="DN126"/>
      <c r="DO126"/>
      <c r="DP126"/>
    </row>
    <row r="127" spans="1:120" s="6" customFormat="1">
      <c r="A127" t="str">
        <f>HYPERLINK(".\links\pep\TI-219-pep.txt","TI-219")</f>
        <v>TI-219</v>
      </c>
      <c r="B127">
        <v>219</v>
      </c>
      <c r="C127" t="s">
        <v>12</v>
      </c>
      <c r="D127">
        <v>69</v>
      </c>
      <c r="E127">
        <v>0</v>
      </c>
      <c r="F127" t="str">
        <f>HYPERLINK(".\links\cds\TI-219-cds.txt","TI-219")</f>
        <v>TI-219</v>
      </c>
      <c r="G127">
        <v>210</v>
      </c>
      <c r="H127"/>
      <c r="I127" t="s">
        <v>8</v>
      </c>
      <c r="J127" t="s">
        <v>6</v>
      </c>
      <c r="K127">
        <v>2</v>
      </c>
      <c r="L127">
        <v>0</v>
      </c>
      <c r="M127">
        <f t="shared" si="6"/>
        <v>2</v>
      </c>
      <c r="N127">
        <f t="shared" si="7"/>
        <v>2</v>
      </c>
      <c r="O127" t="s">
        <v>1297</v>
      </c>
      <c r="P127" t="s">
        <v>1178</v>
      </c>
      <c r="Q127" t="str">
        <f>HYPERLINK(".\links\SWISSP\TI-219-SWISSP.txt","SWISSP")</f>
        <v>SWISSP</v>
      </c>
      <c r="R127" s="3">
        <v>3.0000000000000001E-27</v>
      </c>
      <c r="S127">
        <v>27.3</v>
      </c>
      <c r="T127" t="str">
        <f>HYPERLINK(".\links\NR-LIGHT\TI-219-NR-LIGHT.txt","similar to GCIP-interacting protein p29 (P29)")</f>
        <v>similar to GCIP-interacting protein p29 (P29)</v>
      </c>
      <c r="U127" t="str">
        <f>HYPERLINK("http://www.ncbi.nlm.nih.gov/sutils/blink.cgi?pid=118101581","6E-026")</f>
        <v>6E-026</v>
      </c>
      <c r="V127" t="str">
        <f>HYPERLINK("http://www.ncbi.nlm.nih.gov/protein/118101581","gi|118101581")</f>
        <v>gi|118101581</v>
      </c>
      <c r="W127">
        <v>118</v>
      </c>
      <c r="X127">
        <v>67</v>
      </c>
      <c r="Y127">
        <v>252</v>
      </c>
      <c r="Z127">
        <v>82</v>
      </c>
      <c r="AA127">
        <v>27</v>
      </c>
      <c r="AB127">
        <v>12</v>
      </c>
      <c r="AC127">
        <v>0</v>
      </c>
      <c r="AD127">
        <v>185</v>
      </c>
      <c r="AE127">
        <v>2</v>
      </c>
      <c r="AF127">
        <v>1</v>
      </c>
      <c r="AG127"/>
      <c r="AH127" t="s">
        <v>13</v>
      </c>
      <c r="AI127" t="s">
        <v>51</v>
      </c>
      <c r="AJ127" t="s">
        <v>126</v>
      </c>
      <c r="AK127" t="str">
        <f>HYPERLINK(".\links\SWISSP\TI-219-SWISSP.txt","Pre-mRNA-splicing factor syf2 OS=Gecko japonicus GN=syf2 PE=2 SV=1")</f>
        <v>Pre-mRNA-splicing factor syf2 OS=Gecko japonicus GN=syf2 PE=2 SV=1</v>
      </c>
      <c r="AL127" t="str">
        <f>HYPERLINK("http://www.uniprot.org/uniprot/Q6DV01","3E-027")</f>
        <v>3E-027</v>
      </c>
      <c r="AM127" t="s">
        <v>164</v>
      </c>
      <c r="AN127">
        <v>120</v>
      </c>
      <c r="AO127">
        <v>67</v>
      </c>
      <c r="AP127">
        <v>249</v>
      </c>
      <c r="AQ127">
        <v>85</v>
      </c>
      <c r="AR127">
        <v>27</v>
      </c>
      <c r="AS127">
        <v>10</v>
      </c>
      <c r="AT127">
        <v>0</v>
      </c>
      <c r="AU127">
        <v>182</v>
      </c>
      <c r="AV127">
        <v>2</v>
      </c>
      <c r="AW127">
        <v>1</v>
      </c>
      <c r="AX127" t="s">
        <v>165</v>
      </c>
      <c r="AY127" t="str">
        <f>HYPERLINK(".\links\PREV-RHOD-PEP\TI-219-PREV-RHOD-PEP.txt","Contig17854_91")</f>
        <v>Contig17854_91</v>
      </c>
      <c r="AZ127" s="3">
        <v>4.0000000000000002E-33</v>
      </c>
      <c r="BA127" t="s">
        <v>1082</v>
      </c>
      <c r="BB127">
        <v>135</v>
      </c>
      <c r="BC127">
        <v>68</v>
      </c>
      <c r="BD127">
        <v>230</v>
      </c>
      <c r="BE127">
        <v>94</v>
      </c>
      <c r="BF127">
        <v>30</v>
      </c>
      <c r="BG127">
        <v>4</v>
      </c>
      <c r="BH127">
        <v>0</v>
      </c>
      <c r="BI127">
        <v>162</v>
      </c>
      <c r="BJ127">
        <v>1</v>
      </c>
      <c r="BK127">
        <v>1</v>
      </c>
      <c r="BL127" t="s">
        <v>712</v>
      </c>
      <c r="BM127">
        <f>HYPERLINK(".\links\GO\TI-219-GO.txt",3E-26)</f>
        <v>3.0000000000000001E-26</v>
      </c>
      <c r="BN127" t="s">
        <v>507</v>
      </c>
      <c r="BO127" t="s">
        <v>345</v>
      </c>
      <c r="BP127" t="s">
        <v>508</v>
      </c>
      <c r="BQ127" t="s">
        <v>509</v>
      </c>
      <c r="BR127">
        <v>4.9999999999999997E-12</v>
      </c>
      <c r="BS127" t="s">
        <v>713</v>
      </c>
      <c r="BT127" t="s">
        <v>323</v>
      </c>
      <c r="BU127" t="s">
        <v>334</v>
      </c>
      <c r="BV127" t="s">
        <v>714</v>
      </c>
      <c r="BW127">
        <v>4.9999999999999997E-12</v>
      </c>
      <c r="BX127" t="s">
        <v>715</v>
      </c>
      <c r="BY127" t="s">
        <v>345</v>
      </c>
      <c r="BZ127" t="s">
        <v>508</v>
      </c>
      <c r="CA127" t="s">
        <v>716</v>
      </c>
      <c r="CB127">
        <v>4.9999999999999997E-12</v>
      </c>
      <c r="CC127" t="s">
        <v>8</v>
      </c>
      <c r="CD127"/>
      <c r="CE127"/>
      <c r="CF127" t="s">
        <v>8</v>
      </c>
      <c r="CG127"/>
      <c r="CH127"/>
      <c r="CI127" t="s">
        <v>8</v>
      </c>
      <c r="CJ127"/>
      <c r="CK127" t="s">
        <v>8</v>
      </c>
      <c r="CL127"/>
      <c r="CM127" t="s">
        <v>8</v>
      </c>
      <c r="CN127"/>
      <c r="CO127" t="s">
        <v>8</v>
      </c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 t="s">
        <v>8</v>
      </c>
      <c r="DD127"/>
      <c r="DE127"/>
      <c r="DF127"/>
      <c r="DG127"/>
      <c r="DH127"/>
      <c r="DI127"/>
      <c r="DJ127"/>
      <c r="DK127"/>
      <c r="DL127"/>
      <c r="DM127"/>
      <c r="DN127"/>
      <c r="DO127"/>
      <c r="DP127"/>
    </row>
    <row r="128" spans="1:120" s="6" customFormat="1">
      <c r="A128" t="str">
        <f>HYPERLINK(".\links\pep\TI-220-pep.txt","TI-220")</f>
        <v>TI-220</v>
      </c>
      <c r="B128">
        <v>220</v>
      </c>
      <c r="C128" t="s">
        <v>24</v>
      </c>
      <c r="D128">
        <v>150</v>
      </c>
      <c r="E128">
        <v>0</v>
      </c>
      <c r="F128" t="str">
        <f>HYPERLINK(".\links\cds\TI-220-cds.txt","TI-220")</f>
        <v>TI-220</v>
      </c>
      <c r="G128">
        <v>453</v>
      </c>
      <c r="H128"/>
      <c r="I128" t="s">
        <v>8</v>
      </c>
      <c r="J128" t="s">
        <v>6</v>
      </c>
      <c r="K128">
        <v>5</v>
      </c>
      <c r="L128">
        <v>2</v>
      </c>
      <c r="M128">
        <f t="shared" si="6"/>
        <v>3</v>
      </c>
      <c r="N128">
        <f t="shared" si="7"/>
        <v>3</v>
      </c>
      <c r="O128" t="s">
        <v>1207</v>
      </c>
      <c r="P128" t="s">
        <v>1196</v>
      </c>
      <c r="Q128" t="str">
        <f>HYPERLINK(".\links\NR-LIGHT\TI-220-NR-LIGHT.txt","NR-LIGHT")</f>
        <v>NR-LIGHT</v>
      </c>
      <c r="R128" s="3">
        <v>3.9999999999999996E-21</v>
      </c>
      <c r="S128">
        <v>3.8</v>
      </c>
      <c r="T128" t="str">
        <f>HYPERLINK(".\links\NR-LIGHT\TI-220-NR-LIGHT.txt","polyprotein")</f>
        <v>polyprotein</v>
      </c>
      <c r="U128" t="str">
        <f>HYPERLINK("http://www.ncbi.nlm.nih.gov/sutils/blink.cgi?pid=296005647","4E-021")</f>
        <v>4E-021</v>
      </c>
      <c r="V128" t="str">
        <f>HYPERLINK("http://www.ncbi.nlm.nih.gov/protein/296005647","gi|296005647")</f>
        <v>gi|296005647</v>
      </c>
      <c r="W128">
        <v>102</v>
      </c>
      <c r="X128">
        <v>114</v>
      </c>
      <c r="Y128">
        <v>2964</v>
      </c>
      <c r="Z128">
        <v>43</v>
      </c>
      <c r="AA128">
        <v>4</v>
      </c>
      <c r="AB128">
        <v>65</v>
      </c>
      <c r="AC128">
        <v>0</v>
      </c>
      <c r="AD128">
        <v>2849</v>
      </c>
      <c r="AE128">
        <v>9</v>
      </c>
      <c r="AF128">
        <v>1</v>
      </c>
      <c r="AG128"/>
      <c r="AH128" t="s">
        <v>13</v>
      </c>
      <c r="AI128" t="s">
        <v>51</v>
      </c>
      <c r="AJ128" t="s">
        <v>286</v>
      </c>
      <c r="AK128" t="str">
        <f>HYPERLINK(".\links\SWISSP\TI-220-SWISSP.txt","Genome polyprotein OS=Rice tungro spherical virus (strain A) PE=1 SV=1")</f>
        <v>Genome polyprotein OS=Rice tungro spherical virus (strain A) PE=1 SV=1</v>
      </c>
      <c r="AL128" t="str">
        <f>HYPERLINK("http://www.uniprot.org/uniprot/Q83034","2E-006")</f>
        <v>2E-006</v>
      </c>
      <c r="AM128" t="s">
        <v>166</v>
      </c>
      <c r="AN128">
        <v>51.6</v>
      </c>
      <c r="AO128">
        <v>82</v>
      </c>
      <c r="AP128">
        <v>3473</v>
      </c>
      <c r="AQ128">
        <v>36</v>
      </c>
      <c r="AR128">
        <v>2</v>
      </c>
      <c r="AS128">
        <v>53</v>
      </c>
      <c r="AT128">
        <v>0</v>
      </c>
      <c r="AU128">
        <v>3318</v>
      </c>
      <c r="AV128">
        <v>26</v>
      </c>
      <c r="AW128">
        <v>1</v>
      </c>
      <c r="AX128" t="s">
        <v>167</v>
      </c>
      <c r="AY128" t="s">
        <v>8</v>
      </c>
      <c r="AZ128"/>
      <c r="BA128"/>
      <c r="BB128"/>
      <c r="BC128"/>
      <c r="BD128"/>
      <c r="BE128"/>
      <c r="BF128"/>
      <c r="BG128"/>
      <c r="BH128"/>
      <c r="BI128"/>
      <c r="BJ128"/>
      <c r="BK128"/>
      <c r="BL128" t="s">
        <v>8</v>
      </c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 t="s">
        <v>8</v>
      </c>
      <c r="CD128"/>
      <c r="CE128"/>
      <c r="CF128" t="s">
        <v>8</v>
      </c>
      <c r="CG128"/>
      <c r="CH128"/>
      <c r="CI128" t="s">
        <v>8</v>
      </c>
      <c r="CJ128"/>
      <c r="CK128" t="s">
        <v>8</v>
      </c>
      <c r="CL128"/>
      <c r="CM128" t="s">
        <v>8</v>
      </c>
      <c r="CN128"/>
      <c r="CO128" t="s">
        <v>8</v>
      </c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 t="s">
        <v>8</v>
      </c>
      <c r="DD128"/>
      <c r="DE128"/>
      <c r="DF128"/>
      <c r="DG128"/>
      <c r="DH128"/>
      <c r="DI128"/>
      <c r="DJ128"/>
      <c r="DK128"/>
      <c r="DL128"/>
      <c r="DM128"/>
      <c r="DN128"/>
      <c r="DO128"/>
      <c r="DP128"/>
    </row>
    <row r="129" spans="1:120" s="6" customFormat="1">
      <c r="A129" s="6" t="str">
        <f>HYPERLINK(".\links\pep\TI-223-pep.txt","TI-223")</f>
        <v>TI-223</v>
      </c>
      <c r="B129" s="6">
        <v>223</v>
      </c>
      <c r="C129" s="6" t="s">
        <v>10</v>
      </c>
      <c r="D129" s="6">
        <v>40</v>
      </c>
      <c r="E129" s="6">
        <v>0</v>
      </c>
      <c r="F129" s="6" t="str">
        <f>HYPERLINK(".\links\cds\TI-223-cds.txt","TI-223")</f>
        <v>TI-223</v>
      </c>
      <c r="G129" s="6">
        <v>123</v>
      </c>
      <c r="I129" s="6" t="s">
        <v>8</v>
      </c>
      <c r="J129" s="6" t="s">
        <v>6</v>
      </c>
      <c r="K129" s="6">
        <v>1</v>
      </c>
      <c r="L129" s="6">
        <v>0</v>
      </c>
      <c r="M129" s="6">
        <f t="shared" si="6"/>
        <v>1</v>
      </c>
      <c r="N129" s="6">
        <f t="shared" si="7"/>
        <v>1</v>
      </c>
      <c r="O129" s="6" t="s">
        <v>1170</v>
      </c>
      <c r="P129" s="6" t="s">
        <v>1171</v>
      </c>
      <c r="T129" s="6" t="s">
        <v>8</v>
      </c>
      <c r="AK129" s="6" t="s">
        <v>8</v>
      </c>
      <c r="AY129" s="6" t="s">
        <v>8</v>
      </c>
      <c r="BL129" s="6" t="s">
        <v>8</v>
      </c>
      <c r="CC129" s="6" t="s">
        <v>8</v>
      </c>
      <c r="CF129" s="6" t="s">
        <v>8</v>
      </c>
      <c r="CI129" s="6" t="s">
        <v>8</v>
      </c>
      <c r="CK129" s="6" t="s">
        <v>8</v>
      </c>
      <c r="CM129" s="6" t="s">
        <v>8</v>
      </c>
      <c r="CO129" s="6" t="s">
        <v>8</v>
      </c>
      <c r="DC129" s="6" t="s">
        <v>8</v>
      </c>
    </row>
    <row r="130" spans="1:120" s="6" customFormat="1">
      <c r="A130" t="str">
        <f>HYPERLINK(".\links\pep\TI-225-pep.txt","TI-225")</f>
        <v>TI-225</v>
      </c>
      <c r="B130">
        <v>225</v>
      </c>
      <c r="C130" t="s">
        <v>17</v>
      </c>
      <c r="D130">
        <v>203</v>
      </c>
      <c r="E130" s="2">
        <v>8.8669949999999993</v>
      </c>
      <c r="F130" t="str">
        <f>HYPERLINK(".\links\cds\TI-225-cds.txt","TI-225")</f>
        <v>TI-225</v>
      </c>
      <c r="G130">
        <v>612</v>
      </c>
      <c r="H130"/>
      <c r="I130" t="s">
        <v>8</v>
      </c>
      <c r="J130" t="s">
        <v>6</v>
      </c>
      <c r="K130">
        <v>0</v>
      </c>
      <c r="L130">
        <v>1</v>
      </c>
      <c r="M130">
        <f t="shared" si="6"/>
        <v>-1</v>
      </c>
      <c r="N130">
        <f t="shared" si="7"/>
        <v>1</v>
      </c>
      <c r="O130" t="s">
        <v>1299</v>
      </c>
      <c r="P130" t="s">
        <v>1187</v>
      </c>
      <c r="Q130" t="str">
        <f>HYPERLINK(".\links\NR-LIGHT\TI-225-NR-LIGHT.txt","NR-LIGHT")</f>
        <v>NR-LIGHT</v>
      </c>
      <c r="R130" s="3">
        <v>8.0000000000000002E-58</v>
      </c>
      <c r="S130">
        <v>64.400000000000006</v>
      </c>
      <c r="T130" t="str">
        <f>HYPERLINK(".\links\NR-LIGHT\TI-225-NR-LIGHT.txt","AGAP005529-PC")</f>
        <v>AGAP005529-PC</v>
      </c>
      <c r="U130" t="str">
        <f>HYPERLINK("http://www.ncbi.nlm.nih.gov/sutils/blink.cgi?pid=158294325","4E-058")</f>
        <v>4E-058</v>
      </c>
      <c r="V130" t="str">
        <f>HYPERLINK("http://www.ncbi.nlm.nih.gov/protein/158294325","gi|158294325")</f>
        <v>gi|158294325</v>
      </c>
      <c r="W130">
        <v>226</v>
      </c>
      <c r="X130">
        <v>200</v>
      </c>
      <c r="Y130">
        <v>241</v>
      </c>
      <c r="Z130">
        <v>59</v>
      </c>
      <c r="AA130">
        <v>83</v>
      </c>
      <c r="AB130">
        <v>82</v>
      </c>
      <c r="AC130">
        <v>1</v>
      </c>
      <c r="AD130">
        <v>41</v>
      </c>
      <c r="AE130">
        <v>2</v>
      </c>
      <c r="AF130">
        <v>1</v>
      </c>
      <c r="AG130"/>
      <c r="AH130" t="s">
        <v>13</v>
      </c>
      <c r="AI130" t="s">
        <v>51</v>
      </c>
      <c r="AJ130" t="s">
        <v>275</v>
      </c>
      <c r="AK130" t="str">
        <f>HYPERLINK(".\links\SWISSP\TI-225-SWISSP.txt","Glutamate")</f>
        <v>Glutamate</v>
      </c>
      <c r="AL130" t="str">
        <f>HYPERLINK("http://www.uniprot.org/uniprot/Q7Z429","4E-029")</f>
        <v>4E-029</v>
      </c>
      <c r="AM130" t="s">
        <v>67</v>
      </c>
      <c r="AN130">
        <v>127</v>
      </c>
      <c r="AO130">
        <v>170</v>
      </c>
      <c r="AP130">
        <v>371</v>
      </c>
      <c r="AQ130">
        <v>40</v>
      </c>
      <c r="AR130">
        <v>46</v>
      </c>
      <c r="AS130">
        <v>103</v>
      </c>
      <c r="AT130">
        <v>1</v>
      </c>
      <c r="AU130">
        <v>201</v>
      </c>
      <c r="AV130">
        <v>31</v>
      </c>
      <c r="AW130">
        <v>1</v>
      </c>
      <c r="AX130" t="s">
        <v>68</v>
      </c>
      <c r="AY130" t="str">
        <f>HYPERLINK(".\links\PREV-RHOD-PEP\TI-225-PREV-RHOD-PEP.txt","Contig17372_7")</f>
        <v>Contig17372_7</v>
      </c>
      <c r="AZ130" s="3">
        <v>1E-25</v>
      </c>
      <c r="BA130" t="s">
        <v>994</v>
      </c>
      <c r="BB130">
        <v>112</v>
      </c>
      <c r="BC130">
        <v>166</v>
      </c>
      <c r="BD130">
        <v>244</v>
      </c>
      <c r="BE130">
        <v>37</v>
      </c>
      <c r="BF130">
        <v>68</v>
      </c>
      <c r="BG130">
        <v>108</v>
      </c>
      <c r="BH130">
        <v>5</v>
      </c>
      <c r="BI130">
        <v>78</v>
      </c>
      <c r="BJ130">
        <v>31</v>
      </c>
      <c r="BK130">
        <v>1</v>
      </c>
      <c r="BL130" t="s">
        <v>382</v>
      </c>
      <c r="BM130">
        <f>HYPERLINK(".\links\GO\TI-225-GO.txt",5E-56)</f>
        <v>5E-56</v>
      </c>
      <c r="BN130" t="s">
        <v>373</v>
      </c>
      <c r="BO130" t="s">
        <v>373</v>
      </c>
      <c r="BP130"/>
      <c r="BQ130" t="s">
        <v>374</v>
      </c>
      <c r="BR130" s="3">
        <v>7.0000000000000006E-30</v>
      </c>
      <c r="BS130" t="s">
        <v>375</v>
      </c>
      <c r="BT130" t="s">
        <v>375</v>
      </c>
      <c r="BU130"/>
      <c r="BV130" t="s">
        <v>376</v>
      </c>
      <c r="BW130" s="3">
        <v>7.0000000000000006E-30</v>
      </c>
      <c r="BX130" t="s">
        <v>380</v>
      </c>
      <c r="BY130" t="s">
        <v>373</v>
      </c>
      <c r="BZ130"/>
      <c r="CA130" t="s">
        <v>381</v>
      </c>
      <c r="CB130" s="3">
        <v>7.0000000000000006E-30</v>
      </c>
      <c r="CC130" t="s">
        <v>8</v>
      </c>
      <c r="CD130"/>
      <c r="CE130"/>
      <c r="CF130" t="s">
        <v>8</v>
      </c>
      <c r="CG130"/>
      <c r="CH130"/>
      <c r="CI130" t="s">
        <v>8</v>
      </c>
      <c r="CJ130"/>
      <c r="CK130" t="s">
        <v>8</v>
      </c>
      <c r="CL130"/>
      <c r="CM130" t="s">
        <v>8</v>
      </c>
      <c r="CN130"/>
      <c r="CO130" t="s">
        <v>8</v>
      </c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 t="s">
        <v>8</v>
      </c>
      <c r="DD130"/>
      <c r="DE130"/>
      <c r="DF130"/>
      <c r="DG130"/>
      <c r="DH130"/>
      <c r="DI130"/>
      <c r="DJ130"/>
      <c r="DK130"/>
      <c r="DL130"/>
      <c r="DM130"/>
      <c r="DN130"/>
      <c r="DO130"/>
      <c r="DP130"/>
    </row>
    <row r="131" spans="1:120" s="6" customFormat="1">
      <c r="A131" t="str">
        <f>HYPERLINK(".\links\pep\TI-227-pep.txt","TI-227")</f>
        <v>TI-227</v>
      </c>
      <c r="B131">
        <v>227</v>
      </c>
      <c r="C131" t="s">
        <v>7</v>
      </c>
      <c r="D131">
        <v>139</v>
      </c>
      <c r="E131">
        <v>0</v>
      </c>
      <c r="F131" t="str">
        <f>HYPERLINK(".\links\cds\TI-227-cds.txt","TI-227")</f>
        <v>TI-227</v>
      </c>
      <c r="G131">
        <v>420</v>
      </c>
      <c r="H131"/>
      <c r="I131" t="s">
        <v>29</v>
      </c>
      <c r="J131" t="s">
        <v>6</v>
      </c>
      <c r="K131">
        <v>1</v>
      </c>
      <c r="L131">
        <v>0</v>
      </c>
      <c r="M131">
        <f t="shared" si="6"/>
        <v>1</v>
      </c>
      <c r="N131">
        <f t="shared" si="7"/>
        <v>1</v>
      </c>
      <c r="O131" t="s">
        <v>1300</v>
      </c>
      <c r="P131" t="s">
        <v>1208</v>
      </c>
      <c r="Q131" t="str">
        <f>HYPERLINK(".\links\GO\TI-227-GO.txt","GO")</f>
        <v>GO</v>
      </c>
      <c r="R131" s="3">
        <v>9.9999999999999995E-21</v>
      </c>
      <c r="S131">
        <v>100</v>
      </c>
      <c r="T131" t="str">
        <f>HYPERLINK(".\links\NR-LIGHT\TI-227-NR-LIGHT.txt","lysozyme 2")</f>
        <v>lysozyme 2</v>
      </c>
      <c r="U131" t="str">
        <f>HYPERLINK("http://www.ncbi.nlm.nih.gov/sutils/blink.cgi?pid=115338587","2E-063")</f>
        <v>2E-063</v>
      </c>
      <c r="V131" t="str">
        <f>HYPERLINK("http://www.ncbi.nlm.nih.gov/protein/115338587","gi|115338587")</f>
        <v>gi|115338587</v>
      </c>
      <c r="W131">
        <v>243</v>
      </c>
      <c r="X131">
        <v>125</v>
      </c>
      <c r="Y131">
        <v>139</v>
      </c>
      <c r="Z131">
        <v>92</v>
      </c>
      <c r="AA131">
        <v>91</v>
      </c>
      <c r="AB131">
        <v>10</v>
      </c>
      <c r="AC131">
        <v>0</v>
      </c>
      <c r="AD131">
        <v>14</v>
      </c>
      <c r="AE131">
        <v>14</v>
      </c>
      <c r="AF131">
        <v>1</v>
      </c>
      <c r="AG131"/>
      <c r="AH131" t="s">
        <v>13</v>
      </c>
      <c r="AI131" t="s">
        <v>51</v>
      </c>
      <c r="AJ131" t="s">
        <v>273</v>
      </c>
      <c r="AK131" t="str">
        <f>HYPERLINK(".\links\SWISSP\TI-227-SWISSP.txt","Lysozyme c-1 OS=Anopheles gambiae GN=AGAP007347 PE=2 SV=2")</f>
        <v>Lysozyme c-1 OS=Anopheles gambiae GN=AGAP007347 PE=2 SV=2</v>
      </c>
      <c r="AL131" t="str">
        <f>HYPERLINK("http://www.uniprot.org/uniprot/Q17005","1E-027")</f>
        <v>1E-027</v>
      </c>
      <c r="AM131" t="s">
        <v>168</v>
      </c>
      <c r="AN131">
        <v>121</v>
      </c>
      <c r="AO131">
        <v>135</v>
      </c>
      <c r="AP131">
        <v>140</v>
      </c>
      <c r="AQ131">
        <v>40</v>
      </c>
      <c r="AR131">
        <v>97</v>
      </c>
      <c r="AS131">
        <v>81</v>
      </c>
      <c r="AT131">
        <v>1</v>
      </c>
      <c r="AU131">
        <v>5</v>
      </c>
      <c r="AV131">
        <v>3</v>
      </c>
      <c r="AW131">
        <v>1</v>
      </c>
      <c r="AX131" t="s">
        <v>110</v>
      </c>
      <c r="AY131" t="str">
        <f>HYPERLINK(".\links\PREV-RHOD-PEP\TI-227-PREV-RHOD-PEP.txt","Contig17801_61")</f>
        <v>Contig17801_61</v>
      </c>
      <c r="AZ131" s="3">
        <v>8.0000000000000006E-43</v>
      </c>
      <c r="BA131" t="s">
        <v>1083</v>
      </c>
      <c r="BB131">
        <v>168</v>
      </c>
      <c r="BC131">
        <v>671</v>
      </c>
      <c r="BD131">
        <v>687</v>
      </c>
      <c r="BE131">
        <v>54</v>
      </c>
      <c r="BF131">
        <v>98</v>
      </c>
      <c r="BG131">
        <v>63</v>
      </c>
      <c r="BH131">
        <v>0</v>
      </c>
      <c r="BI131">
        <v>16</v>
      </c>
      <c r="BJ131">
        <v>1</v>
      </c>
      <c r="BK131">
        <v>2</v>
      </c>
      <c r="BL131" t="s">
        <v>717</v>
      </c>
      <c r="BM131">
        <f>HYPERLINK(".\links\GO\TI-227-GO.txt",5E-23)</f>
        <v>5.0000000000000002E-23</v>
      </c>
      <c r="BN131" t="s">
        <v>718</v>
      </c>
      <c r="BO131" t="s">
        <v>345</v>
      </c>
      <c r="BP131" t="s">
        <v>349</v>
      </c>
      <c r="BQ131" t="s">
        <v>719</v>
      </c>
      <c r="BR131" s="3">
        <v>7.0000000000000003E-19</v>
      </c>
      <c r="BS131" t="s">
        <v>8</v>
      </c>
      <c r="BT131" t="s">
        <v>8</v>
      </c>
      <c r="BU131" t="s">
        <v>8</v>
      </c>
      <c r="BV131" t="s">
        <v>8</v>
      </c>
      <c r="BW131" t="s">
        <v>8</v>
      </c>
      <c r="BX131" t="s">
        <v>8</v>
      </c>
      <c r="BY131" t="s">
        <v>8</v>
      </c>
      <c r="BZ131" t="s">
        <v>8</v>
      </c>
      <c r="CA131" t="s">
        <v>8</v>
      </c>
      <c r="CB131" t="s">
        <v>8</v>
      </c>
      <c r="CC131" t="s">
        <v>8</v>
      </c>
      <c r="CD131"/>
      <c r="CE131"/>
      <c r="CF131" t="s">
        <v>8</v>
      </c>
      <c r="CG131"/>
      <c r="CH131"/>
      <c r="CI131" t="s">
        <v>8</v>
      </c>
      <c r="CJ131"/>
      <c r="CK131" t="s">
        <v>8</v>
      </c>
      <c r="CL131"/>
      <c r="CM131" t="s">
        <v>8</v>
      </c>
      <c r="CN131"/>
      <c r="CO131" t="s">
        <v>8</v>
      </c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 t="s">
        <v>8</v>
      </c>
      <c r="DD131"/>
      <c r="DE131"/>
      <c r="DF131"/>
      <c r="DG131"/>
      <c r="DH131"/>
      <c r="DI131"/>
      <c r="DJ131"/>
      <c r="DK131"/>
      <c r="DL131"/>
      <c r="DM131"/>
      <c r="DN131"/>
      <c r="DO131"/>
      <c r="DP131"/>
    </row>
    <row r="132" spans="1:120" s="6" customFormat="1">
      <c r="A132" s="6" t="str">
        <f>HYPERLINK(".\links\pep\TI-228-pep.txt","TI-228")</f>
        <v>TI-228</v>
      </c>
      <c r="B132" s="6">
        <v>228</v>
      </c>
      <c r="C132" s="6" t="s">
        <v>11</v>
      </c>
      <c r="D132" s="6">
        <v>18</v>
      </c>
      <c r="E132" s="7">
        <v>5.555555</v>
      </c>
      <c r="F132" s="6" t="str">
        <f>HYPERLINK(".\links\cds\TI-228-cds.txt","TI-228")</f>
        <v>TI-228</v>
      </c>
      <c r="G132" s="6">
        <v>57</v>
      </c>
      <c r="I132" s="6" t="s">
        <v>8</v>
      </c>
      <c r="J132" s="6" t="s">
        <v>6</v>
      </c>
      <c r="K132" s="6">
        <v>1</v>
      </c>
      <c r="L132" s="6">
        <v>0</v>
      </c>
      <c r="M132" s="6">
        <f t="shared" si="6"/>
        <v>1</v>
      </c>
      <c r="N132" s="6">
        <f t="shared" si="7"/>
        <v>1</v>
      </c>
      <c r="O132" s="6" t="s">
        <v>1170</v>
      </c>
      <c r="P132" s="6" t="s">
        <v>1171</v>
      </c>
      <c r="T132" s="6" t="s">
        <v>8</v>
      </c>
      <c r="AK132" s="6" t="s">
        <v>8</v>
      </c>
      <c r="AY132" s="6" t="s">
        <v>8</v>
      </c>
      <c r="BL132" s="6" t="s">
        <v>8</v>
      </c>
      <c r="CC132" s="6" t="s">
        <v>8</v>
      </c>
      <c r="CF132" s="6" t="s">
        <v>8</v>
      </c>
      <c r="CI132" s="6" t="s">
        <v>8</v>
      </c>
      <c r="CK132" s="6" t="s">
        <v>8</v>
      </c>
      <c r="CM132" s="6" t="s">
        <v>8</v>
      </c>
      <c r="CO132" s="6" t="s">
        <v>8</v>
      </c>
      <c r="DC132" s="6" t="s">
        <v>8</v>
      </c>
    </row>
    <row r="133" spans="1:120" s="6" customFormat="1">
      <c r="A133" t="str">
        <f>HYPERLINK(".\links\pep\TI-230-pep.txt","TI-230")</f>
        <v>TI-230</v>
      </c>
      <c r="B133">
        <v>230</v>
      </c>
      <c r="C133" t="s">
        <v>7</v>
      </c>
      <c r="D133">
        <v>200</v>
      </c>
      <c r="E133">
        <v>0</v>
      </c>
      <c r="F133" t="str">
        <f>HYPERLINK(".\links\cds\TI-230-cds.txt","TI-230")</f>
        <v>TI-230</v>
      </c>
      <c r="G133">
        <v>599</v>
      </c>
      <c r="H133"/>
      <c r="I133" t="s">
        <v>29</v>
      </c>
      <c r="J133" t="s">
        <v>8</v>
      </c>
      <c r="K133">
        <v>2</v>
      </c>
      <c r="L133">
        <v>0</v>
      </c>
      <c r="M133">
        <f t="shared" si="6"/>
        <v>2</v>
      </c>
      <c r="N133">
        <f t="shared" si="7"/>
        <v>2</v>
      </c>
      <c r="O133" t="s">
        <v>1209</v>
      </c>
      <c r="P133" t="s">
        <v>1210</v>
      </c>
      <c r="Q133" t="str">
        <f>HYPERLINK(".\links\NR-LIGHT\TI-230-NR-LIGHT.txt","NR-LIGHT")</f>
        <v>NR-LIGHT</v>
      </c>
      <c r="R133" s="3">
        <v>1.9999999999999999E-81</v>
      </c>
      <c r="S133">
        <v>49.7</v>
      </c>
      <c r="T133" t="str">
        <f>HYPERLINK(".\links\NR-LIGHT\TI-230-NR-LIGHT.txt","infestin 1-7 precursor")</f>
        <v>infestin 1-7 precursor</v>
      </c>
      <c r="U133" t="str">
        <f>HYPERLINK("http://www.ncbi.nlm.nih.gov/sutils/blink.cgi?pid=83637828","1E-111")</f>
        <v>1E-111</v>
      </c>
      <c r="V133" t="str">
        <f>HYPERLINK("http://www.ncbi.nlm.nih.gov/protein/83637828","gi|83637828")</f>
        <v>gi|83637828</v>
      </c>
      <c r="W133">
        <v>404</v>
      </c>
      <c r="X133">
        <v>405</v>
      </c>
      <c r="Y133">
        <v>409</v>
      </c>
      <c r="Z133">
        <v>98</v>
      </c>
      <c r="AA133">
        <v>99</v>
      </c>
      <c r="AB133">
        <v>3</v>
      </c>
      <c r="AC133">
        <v>0</v>
      </c>
      <c r="AD133">
        <v>1</v>
      </c>
      <c r="AE133">
        <v>1</v>
      </c>
      <c r="AF133">
        <v>4</v>
      </c>
      <c r="AG133"/>
      <c r="AH133" t="s">
        <v>13</v>
      </c>
      <c r="AI133" t="s">
        <v>51</v>
      </c>
      <c r="AJ133" t="s">
        <v>273</v>
      </c>
      <c r="AK133" t="str">
        <f>HYPERLINK(".\links\SWISSP\TI-230-SWISSP.txt","Serine protease inhibitor dipetalogastin (Fragment) OS=Dipetalogaster maximus")</f>
        <v>Serine protease inhibitor dipetalogastin (Fragment) OS=Dipetalogaster maximus</v>
      </c>
      <c r="AL133" t="str">
        <f>HYPERLINK("http://www.uniprot.org/uniprot/O96790","2E-052")</f>
        <v>2E-052</v>
      </c>
      <c r="AM133" t="s">
        <v>169</v>
      </c>
      <c r="AN133">
        <v>205</v>
      </c>
      <c r="AO133">
        <v>344</v>
      </c>
      <c r="AP133">
        <v>351</v>
      </c>
      <c r="AQ133">
        <v>60</v>
      </c>
      <c r="AR133">
        <v>98</v>
      </c>
      <c r="AS133">
        <v>71</v>
      </c>
      <c r="AT133">
        <v>5</v>
      </c>
      <c r="AU133">
        <v>7</v>
      </c>
      <c r="AV133">
        <v>23</v>
      </c>
      <c r="AW133">
        <v>3</v>
      </c>
      <c r="AX133" t="s">
        <v>170</v>
      </c>
      <c r="AY133" t="str">
        <f>HYPERLINK(".\links\PREV-RHOD-PEP\TI-230-PREV-RHOD-PEP.txt","Contig17791_8")</f>
        <v>Contig17791_8</v>
      </c>
      <c r="AZ133" s="3">
        <v>4.0000000000000003E-31</v>
      </c>
      <c r="BA133" t="s">
        <v>1084</v>
      </c>
      <c r="BB133">
        <v>130</v>
      </c>
      <c r="BC133">
        <v>252</v>
      </c>
      <c r="BD133">
        <v>348</v>
      </c>
      <c r="BE133">
        <v>55</v>
      </c>
      <c r="BF133">
        <v>73</v>
      </c>
      <c r="BG133">
        <v>56</v>
      </c>
      <c r="BH133">
        <v>11</v>
      </c>
      <c r="BI133">
        <v>20</v>
      </c>
      <c r="BJ133">
        <v>16</v>
      </c>
      <c r="BK133">
        <v>5</v>
      </c>
      <c r="BL133" t="s">
        <v>720</v>
      </c>
      <c r="BM133">
        <f>HYPERLINK(".\links\GO\TI-230-GO.txt",0.000000000007)</f>
        <v>7.0000000000000001E-12</v>
      </c>
      <c r="BN133" t="s">
        <v>721</v>
      </c>
      <c r="BO133" t="s">
        <v>444</v>
      </c>
      <c r="BP133" t="s">
        <v>445</v>
      </c>
      <c r="BQ133" t="s">
        <v>722</v>
      </c>
      <c r="BR133">
        <v>7.0000000000000001E-12</v>
      </c>
      <c r="BS133" t="s">
        <v>723</v>
      </c>
      <c r="BT133" t="s">
        <v>323</v>
      </c>
      <c r="BU133" t="s">
        <v>724</v>
      </c>
      <c r="BV133" t="s">
        <v>725</v>
      </c>
      <c r="BW133">
        <v>7.0000000000000001E-12</v>
      </c>
      <c r="BX133" t="s">
        <v>726</v>
      </c>
      <c r="BY133" t="s">
        <v>444</v>
      </c>
      <c r="BZ133" t="s">
        <v>445</v>
      </c>
      <c r="CA133" t="s">
        <v>727</v>
      </c>
      <c r="CB133">
        <v>7.0000000000000001E-12</v>
      </c>
      <c r="CC133" t="s">
        <v>8</v>
      </c>
      <c r="CD133"/>
      <c r="CE133"/>
      <c r="CF133" t="s">
        <v>8</v>
      </c>
      <c r="CG133"/>
      <c r="CH133"/>
      <c r="CI133" t="s">
        <v>8</v>
      </c>
      <c r="CJ133"/>
      <c r="CK133" t="s">
        <v>8</v>
      </c>
      <c r="CL133"/>
      <c r="CM133" t="s">
        <v>8</v>
      </c>
      <c r="CN133"/>
      <c r="CO133" t="s">
        <v>8</v>
      </c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 t="s">
        <v>8</v>
      </c>
      <c r="DD133"/>
      <c r="DE133"/>
      <c r="DF133"/>
      <c r="DG133"/>
      <c r="DH133"/>
      <c r="DI133"/>
      <c r="DJ133"/>
      <c r="DK133"/>
      <c r="DL133"/>
      <c r="DM133"/>
      <c r="DN133"/>
      <c r="DO133"/>
      <c r="DP133"/>
    </row>
    <row r="134" spans="1:120" s="6" customFormat="1">
      <c r="A134" t="str">
        <f>HYPERLINK(".\links\pep\TI-231-pep.txt","TI-231")</f>
        <v>TI-231</v>
      </c>
      <c r="B134">
        <v>231</v>
      </c>
      <c r="C134" t="s">
        <v>7</v>
      </c>
      <c r="D134">
        <v>143</v>
      </c>
      <c r="E134">
        <v>0</v>
      </c>
      <c r="F134" t="str">
        <f>HYPERLINK(".\links\cds\TI-231-cds.txt","TI-231")</f>
        <v>TI-231</v>
      </c>
      <c r="G134">
        <v>432</v>
      </c>
      <c r="H134"/>
      <c r="I134" t="s">
        <v>29</v>
      </c>
      <c r="J134" t="s">
        <v>6</v>
      </c>
      <c r="K134">
        <v>1</v>
      </c>
      <c r="L134">
        <v>6</v>
      </c>
      <c r="M134">
        <f t="shared" si="6"/>
        <v>-5</v>
      </c>
      <c r="N134">
        <f t="shared" si="7"/>
        <v>5</v>
      </c>
      <c r="O134" t="s">
        <v>1205</v>
      </c>
      <c r="P134" t="s">
        <v>1178</v>
      </c>
      <c r="Q134" t="str">
        <f>HYPERLINK(".\links\NR-LIGHT\TI-231-NR-LIGHT.txt","NR-LIGHT")</f>
        <v>NR-LIGHT</v>
      </c>
      <c r="R134" s="3">
        <v>9.9999999999999997E-61</v>
      </c>
      <c r="S134">
        <v>91.7</v>
      </c>
      <c r="T134" t="str">
        <f>HYPERLINK(".\links\NR-LIGHT\TI-231-NR-LIGHT.txt","hypothetical protein")</f>
        <v>hypothetical protein</v>
      </c>
      <c r="U134" t="str">
        <f>HYPERLINK("http://www.ncbi.nlm.nih.gov/sutils/blink.cgi?pid=149898792","1E-060")</f>
        <v>1E-060</v>
      </c>
      <c r="V134" t="str">
        <f>HYPERLINK("http://www.ncbi.nlm.nih.gov/protein/149898792","gi|149898792")</f>
        <v>gi|149898792</v>
      </c>
      <c r="W134">
        <v>233</v>
      </c>
      <c r="X134">
        <v>122</v>
      </c>
      <c r="Y134">
        <v>134</v>
      </c>
      <c r="Z134">
        <v>92</v>
      </c>
      <c r="AA134">
        <v>92</v>
      </c>
      <c r="AB134">
        <v>9</v>
      </c>
      <c r="AC134">
        <v>0</v>
      </c>
      <c r="AD134">
        <v>1</v>
      </c>
      <c r="AE134">
        <v>1</v>
      </c>
      <c r="AF134">
        <v>1</v>
      </c>
      <c r="AG134"/>
      <c r="AH134" t="s">
        <v>13</v>
      </c>
      <c r="AI134" t="s">
        <v>51</v>
      </c>
      <c r="AJ134" t="s">
        <v>273</v>
      </c>
      <c r="AK134" t="s">
        <v>8</v>
      </c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 t="str">
        <f>HYPERLINK(".\links\PREV-RHOD-PEP\TI-231-PREV-RHOD-PEP.txt","Contig17706_41")</f>
        <v>Contig17706_41</v>
      </c>
      <c r="AZ134" s="3">
        <v>2E-45</v>
      </c>
      <c r="BA134" t="s">
        <v>1085</v>
      </c>
      <c r="BB134">
        <v>177</v>
      </c>
      <c r="BC134">
        <v>95</v>
      </c>
      <c r="BD134">
        <v>126</v>
      </c>
      <c r="BE134">
        <v>88</v>
      </c>
      <c r="BF134">
        <v>76</v>
      </c>
      <c r="BG134">
        <v>11</v>
      </c>
      <c r="BH134">
        <v>0</v>
      </c>
      <c r="BI134">
        <v>1</v>
      </c>
      <c r="BJ134">
        <v>1</v>
      </c>
      <c r="BK134">
        <v>1</v>
      </c>
      <c r="BL134" t="s">
        <v>728</v>
      </c>
      <c r="BM134">
        <f>HYPERLINK(".\links\GO\TI-231-GO.txt",2E-29)</f>
        <v>1.9999999999999999E-29</v>
      </c>
      <c r="BN134" t="s">
        <v>8</v>
      </c>
      <c r="BO134" t="s">
        <v>8</v>
      </c>
      <c r="BP134" t="s">
        <v>8</v>
      </c>
      <c r="BQ134" t="s">
        <v>8</v>
      </c>
      <c r="BR134" t="s">
        <v>8</v>
      </c>
      <c r="BS134" t="s">
        <v>8</v>
      </c>
      <c r="BT134" t="s">
        <v>8</v>
      </c>
      <c r="BU134" t="s">
        <v>8</v>
      </c>
      <c r="BV134" t="s">
        <v>8</v>
      </c>
      <c r="BW134" t="s">
        <v>8</v>
      </c>
      <c r="BX134" t="s">
        <v>729</v>
      </c>
      <c r="BY134" t="s">
        <v>444</v>
      </c>
      <c r="BZ134" t="s">
        <v>445</v>
      </c>
      <c r="CA134" t="s">
        <v>730</v>
      </c>
      <c r="CB134" s="3">
        <v>1.9999999999999999E-29</v>
      </c>
      <c r="CC134" t="s">
        <v>8</v>
      </c>
      <c r="CD134"/>
      <c r="CE134"/>
      <c r="CF134" t="s">
        <v>8</v>
      </c>
      <c r="CG134"/>
      <c r="CH134"/>
      <c r="CI134" t="s">
        <v>8</v>
      </c>
      <c r="CJ134"/>
      <c r="CK134" t="s">
        <v>8</v>
      </c>
      <c r="CL134"/>
      <c r="CM134" t="s">
        <v>8</v>
      </c>
      <c r="CN134"/>
      <c r="CO134" t="s">
        <v>8</v>
      </c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 t="s">
        <v>8</v>
      </c>
      <c r="DD134"/>
      <c r="DE134"/>
      <c r="DF134"/>
      <c r="DG134"/>
      <c r="DH134"/>
      <c r="DI134"/>
      <c r="DJ134"/>
      <c r="DK134"/>
      <c r="DL134"/>
      <c r="DM134"/>
      <c r="DN134"/>
      <c r="DO134"/>
      <c r="DP134"/>
    </row>
    <row r="135" spans="1:120" s="6" customFormat="1">
      <c r="A135" s="6" t="str">
        <f>HYPERLINK(".\links\pep\TI-232-pep.txt","TI-232")</f>
        <v>TI-232</v>
      </c>
      <c r="B135" s="6">
        <v>232</v>
      </c>
      <c r="C135" s="6" t="s">
        <v>10</v>
      </c>
      <c r="D135" s="6">
        <v>24</v>
      </c>
      <c r="E135" s="6">
        <v>0</v>
      </c>
      <c r="F135" s="6" t="str">
        <f>HYPERLINK(".\links\cds\TI-232-cds.txt","TI-232")</f>
        <v>TI-232</v>
      </c>
      <c r="G135" s="6">
        <v>75</v>
      </c>
      <c r="I135" s="6" t="s">
        <v>8</v>
      </c>
      <c r="J135" s="6" t="s">
        <v>6</v>
      </c>
      <c r="K135" s="6">
        <v>1</v>
      </c>
      <c r="L135" s="6">
        <v>0</v>
      </c>
      <c r="M135" s="6">
        <f t="shared" si="6"/>
        <v>1</v>
      </c>
      <c r="N135" s="6">
        <f t="shared" si="7"/>
        <v>1</v>
      </c>
      <c r="O135" s="6" t="s">
        <v>1170</v>
      </c>
      <c r="P135" s="6" t="s">
        <v>1171</v>
      </c>
      <c r="T135" s="6" t="s">
        <v>8</v>
      </c>
      <c r="AK135" s="6" t="s">
        <v>8</v>
      </c>
      <c r="AY135" s="6" t="s">
        <v>8</v>
      </c>
      <c r="BL135" s="6" t="s">
        <v>8</v>
      </c>
      <c r="CC135" s="6" t="s">
        <v>8</v>
      </c>
      <c r="CF135" s="6" t="s">
        <v>8</v>
      </c>
      <c r="CI135" s="6" t="s">
        <v>8</v>
      </c>
      <c r="CK135" s="6" t="s">
        <v>8</v>
      </c>
      <c r="CM135" s="6" t="s">
        <v>8</v>
      </c>
      <c r="CO135" s="6" t="s">
        <v>8</v>
      </c>
      <c r="DC135" s="6" t="s">
        <v>8</v>
      </c>
    </row>
    <row r="136" spans="1:120" s="6" customFormat="1">
      <c r="A136" s="6" t="str">
        <f>HYPERLINK(".\links\pep\TI-233-pep.txt","TI-233")</f>
        <v>TI-233</v>
      </c>
      <c r="B136" s="6">
        <v>233</v>
      </c>
      <c r="C136" s="6" t="s">
        <v>19</v>
      </c>
      <c r="D136" s="6">
        <v>55</v>
      </c>
      <c r="E136" s="6">
        <v>0</v>
      </c>
      <c r="F136" s="6" t="str">
        <f>HYPERLINK(".\links\cds\TI-233-cds.txt","TI-233")</f>
        <v>TI-233</v>
      </c>
      <c r="G136" s="6">
        <v>168</v>
      </c>
      <c r="I136" s="6" t="s">
        <v>8</v>
      </c>
      <c r="J136" s="6" t="s">
        <v>6</v>
      </c>
      <c r="K136" s="6">
        <v>1</v>
      </c>
      <c r="L136" s="6">
        <v>0</v>
      </c>
      <c r="M136" s="6">
        <f t="shared" si="6"/>
        <v>1</v>
      </c>
      <c r="N136" s="6">
        <f t="shared" si="7"/>
        <v>1</v>
      </c>
      <c r="O136" s="6" t="s">
        <v>1170</v>
      </c>
      <c r="P136" s="6" t="s">
        <v>1171</v>
      </c>
      <c r="T136" s="6" t="s">
        <v>8</v>
      </c>
      <c r="AK136" s="6" t="s">
        <v>8</v>
      </c>
      <c r="AY136" s="6" t="s">
        <v>8</v>
      </c>
      <c r="BL136" s="6" t="s">
        <v>8</v>
      </c>
      <c r="CC136" s="6" t="s">
        <v>8</v>
      </c>
      <c r="CF136" s="6" t="s">
        <v>8</v>
      </c>
      <c r="CI136" s="6" t="s">
        <v>8</v>
      </c>
      <c r="CK136" s="6" t="s">
        <v>8</v>
      </c>
      <c r="CM136" s="6" t="s">
        <v>8</v>
      </c>
      <c r="CO136" s="6" t="s">
        <v>8</v>
      </c>
      <c r="DC136" s="6" t="s">
        <v>8</v>
      </c>
    </row>
    <row r="137" spans="1:120" s="6" customFormat="1">
      <c r="A137" t="str">
        <f>HYPERLINK(".\links\pep\TI-234-pep.txt","TI-234")</f>
        <v>TI-234</v>
      </c>
      <c r="B137">
        <v>234</v>
      </c>
      <c r="C137" t="s">
        <v>7</v>
      </c>
      <c r="D137">
        <v>155</v>
      </c>
      <c r="E137">
        <v>0</v>
      </c>
      <c r="F137" t="str">
        <f>HYPERLINK(".\links\cds\TI-234-cds.txt","TI-234")</f>
        <v>TI-234</v>
      </c>
      <c r="G137">
        <v>463</v>
      </c>
      <c r="H137"/>
      <c r="I137" t="s">
        <v>29</v>
      </c>
      <c r="J137" t="s">
        <v>8</v>
      </c>
      <c r="K137">
        <v>1</v>
      </c>
      <c r="L137">
        <v>0</v>
      </c>
      <c r="M137">
        <f t="shared" si="6"/>
        <v>1</v>
      </c>
      <c r="N137">
        <f t="shared" si="7"/>
        <v>1</v>
      </c>
      <c r="O137" t="s">
        <v>1211</v>
      </c>
      <c r="P137" t="s">
        <v>1169</v>
      </c>
      <c r="Q137" t="str">
        <f>HYPERLINK(".\links\NR-LIGHT\TI-234-NR-LIGHT.txt","NR-LIGHT")</f>
        <v>NR-LIGHT</v>
      </c>
      <c r="R137" s="3">
        <v>2.0000000000000001E-54</v>
      </c>
      <c r="S137">
        <v>61</v>
      </c>
      <c r="T137" t="str">
        <f>HYPERLINK(".\links\NR-LIGHT\TI-234-NR-LIGHT.txt","eukaryotic translation initiation factor 3 subunit, putative")</f>
        <v>eukaryotic translation initiation factor 3 subunit, putative</v>
      </c>
      <c r="U137" t="str">
        <f>HYPERLINK("http://www.ncbi.nlm.nih.gov/sutils/blink.cgi?pid=242021197","2E-054")</f>
        <v>2E-054</v>
      </c>
      <c r="V137" t="str">
        <f>HYPERLINK("http://www.ncbi.nlm.nih.gov/protein/242021197","gi|242021197")</f>
        <v>gi|242021197</v>
      </c>
      <c r="W137">
        <v>213</v>
      </c>
      <c r="X137">
        <v>209</v>
      </c>
      <c r="Y137">
        <v>344</v>
      </c>
      <c r="Z137">
        <v>51</v>
      </c>
      <c r="AA137">
        <v>61</v>
      </c>
      <c r="AB137">
        <v>102</v>
      </c>
      <c r="AC137">
        <v>55</v>
      </c>
      <c r="AD137">
        <v>2</v>
      </c>
      <c r="AE137">
        <v>1</v>
      </c>
      <c r="AF137">
        <v>1</v>
      </c>
      <c r="AG137"/>
      <c r="AH137" t="s">
        <v>13</v>
      </c>
      <c r="AI137" t="s">
        <v>51</v>
      </c>
      <c r="AJ137" t="s">
        <v>268</v>
      </c>
      <c r="AK137" t="str">
        <f>HYPERLINK(".\links\SWISSP\TI-234-SWISSP.txt","Eukaryotic translation initiation factor 3 subunit H OS=Bombyx mori PE=2 SV=1")</f>
        <v>Eukaryotic translation initiation factor 3 subunit H OS=Bombyx mori PE=2 SV=1</v>
      </c>
      <c r="AL137" t="str">
        <f>HYPERLINK("http://www.uniprot.org/uniprot/Q9GV27","1E-053")</f>
        <v>1E-053</v>
      </c>
      <c r="AM137" t="s">
        <v>171</v>
      </c>
      <c r="AN137">
        <v>208</v>
      </c>
      <c r="AO137">
        <v>208</v>
      </c>
      <c r="AP137">
        <v>337</v>
      </c>
      <c r="AQ137">
        <v>52</v>
      </c>
      <c r="AR137">
        <v>62</v>
      </c>
      <c r="AS137">
        <v>100</v>
      </c>
      <c r="AT137">
        <v>55</v>
      </c>
      <c r="AU137">
        <v>9</v>
      </c>
      <c r="AV137">
        <v>2</v>
      </c>
      <c r="AW137">
        <v>1</v>
      </c>
      <c r="AX137" t="s">
        <v>54</v>
      </c>
      <c r="AY137" t="str">
        <f>HYPERLINK(".\links\PREV-RHOD-PEP\TI-234-PREV-RHOD-PEP.txt","Contig18047_205")</f>
        <v>Contig18047_205</v>
      </c>
      <c r="AZ137" s="3">
        <v>5.9999999999999998E-78</v>
      </c>
      <c r="BA137" t="s">
        <v>1086</v>
      </c>
      <c r="BB137">
        <v>285</v>
      </c>
      <c r="BC137">
        <v>210</v>
      </c>
      <c r="BD137">
        <v>326</v>
      </c>
      <c r="BE137">
        <v>70</v>
      </c>
      <c r="BF137">
        <v>65</v>
      </c>
      <c r="BG137">
        <v>62</v>
      </c>
      <c r="BH137">
        <v>56</v>
      </c>
      <c r="BI137">
        <v>1</v>
      </c>
      <c r="BJ137">
        <v>1</v>
      </c>
      <c r="BK137">
        <v>1</v>
      </c>
      <c r="BL137" t="s">
        <v>731</v>
      </c>
      <c r="BM137">
        <f>HYPERLINK(".\links\GO\TI-234-GO.txt",5E-51)</f>
        <v>5E-51</v>
      </c>
      <c r="BN137" t="s">
        <v>634</v>
      </c>
      <c r="BO137" t="s">
        <v>635</v>
      </c>
      <c r="BP137" t="s">
        <v>636</v>
      </c>
      <c r="BQ137" t="s">
        <v>637</v>
      </c>
      <c r="BR137" s="3">
        <v>5E-51</v>
      </c>
      <c r="BS137" t="s">
        <v>638</v>
      </c>
      <c r="BT137" t="s">
        <v>323</v>
      </c>
      <c r="BU137" t="s">
        <v>334</v>
      </c>
      <c r="BV137" t="s">
        <v>639</v>
      </c>
      <c r="BW137" s="3">
        <v>5E-51</v>
      </c>
      <c r="BX137" t="s">
        <v>732</v>
      </c>
      <c r="BY137" t="s">
        <v>635</v>
      </c>
      <c r="BZ137" t="s">
        <v>636</v>
      </c>
      <c r="CA137" t="s">
        <v>733</v>
      </c>
      <c r="CB137" s="3">
        <v>5E-51</v>
      </c>
      <c r="CC137" t="s">
        <v>8</v>
      </c>
      <c r="CD137"/>
      <c r="CE137"/>
      <c r="CF137" t="s">
        <v>8</v>
      </c>
      <c r="CG137"/>
      <c r="CH137"/>
      <c r="CI137" t="s">
        <v>8</v>
      </c>
      <c r="CJ137"/>
      <c r="CK137" t="s">
        <v>8</v>
      </c>
      <c r="CL137"/>
      <c r="CM137" t="s">
        <v>8</v>
      </c>
      <c r="CN137"/>
      <c r="CO137" t="s">
        <v>8</v>
      </c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 t="s">
        <v>8</v>
      </c>
      <c r="DD137"/>
      <c r="DE137"/>
      <c r="DF137"/>
      <c r="DG137"/>
      <c r="DH137"/>
      <c r="DI137"/>
      <c r="DJ137"/>
      <c r="DK137"/>
      <c r="DL137"/>
      <c r="DM137"/>
      <c r="DN137"/>
      <c r="DO137"/>
      <c r="DP137"/>
    </row>
    <row r="138" spans="1:120" s="6" customFormat="1">
      <c r="A138" s="6" t="str">
        <f>HYPERLINK(".\links\pep\TI-239-pep.txt","TI-239")</f>
        <v>TI-239</v>
      </c>
      <c r="B138" s="6">
        <v>239</v>
      </c>
      <c r="C138" s="6" t="s">
        <v>27</v>
      </c>
      <c r="D138" s="6">
        <v>42</v>
      </c>
      <c r="E138" s="6">
        <v>0</v>
      </c>
      <c r="F138" s="6" t="str">
        <f>HYPERLINK(".\links\cds\TI-239-cds.txt","TI-239")</f>
        <v>TI-239</v>
      </c>
      <c r="G138" s="6">
        <v>129</v>
      </c>
      <c r="I138" s="6" t="s">
        <v>8</v>
      </c>
      <c r="J138" s="6" t="s">
        <v>6</v>
      </c>
      <c r="K138" s="6">
        <v>3</v>
      </c>
      <c r="L138" s="6">
        <v>0</v>
      </c>
      <c r="M138" s="6">
        <f t="shared" si="6"/>
        <v>3</v>
      </c>
      <c r="N138" s="6">
        <f t="shared" si="7"/>
        <v>3</v>
      </c>
      <c r="O138" s="6" t="s">
        <v>1170</v>
      </c>
      <c r="P138" s="6" t="s">
        <v>1171</v>
      </c>
      <c r="T138" s="6" t="s">
        <v>8</v>
      </c>
      <c r="AK138" s="6" t="s">
        <v>8</v>
      </c>
      <c r="AY138" s="6" t="s">
        <v>8</v>
      </c>
      <c r="BL138" s="6" t="s">
        <v>8</v>
      </c>
      <c r="CC138" s="6" t="s">
        <v>8</v>
      </c>
      <c r="CF138" s="6" t="s">
        <v>8</v>
      </c>
      <c r="CI138" s="6" t="s">
        <v>8</v>
      </c>
      <c r="CK138" s="6" t="s">
        <v>8</v>
      </c>
      <c r="CM138" s="6" t="s">
        <v>8</v>
      </c>
      <c r="CO138" s="6" t="str">
        <f>HYPERLINK(".\links\MIT-PLA\TI-239-MIT-PLA.txt","Triatoma infestans clone TI-67 NADH dehydrogenase subunit 6 mRNA, complete cds;")</f>
        <v>Triatoma infestans clone TI-67 NADH dehydrogenase subunit 6 mRNA, complete cds;</v>
      </c>
      <c r="CP138" s="6" t="str">
        <f>HYPERLINK("http://www.ncbi.nlm.nih.gov/entrez/viewer.fcgi?db=nucleotide&amp;val=149898873","2E-047")</f>
        <v>2E-047</v>
      </c>
      <c r="CQ138" s="6" t="str">
        <f>HYPERLINK("http://www.ncbi.nlm.nih.gov/entrez/viewer.fcgi?db=nucleotide&amp;val=149898873","gi|149898873")</f>
        <v>gi|149898873</v>
      </c>
      <c r="CR138" s="6">
        <v>182</v>
      </c>
      <c r="CS138" s="6">
        <v>95</v>
      </c>
      <c r="CT138" s="6">
        <v>456</v>
      </c>
      <c r="CU138" s="6">
        <v>98</v>
      </c>
      <c r="CV138" s="6">
        <v>21</v>
      </c>
      <c r="CW138" s="6">
        <v>1</v>
      </c>
      <c r="CX138" s="6">
        <v>0</v>
      </c>
      <c r="CY138" s="6">
        <v>1</v>
      </c>
      <c r="CZ138" s="6">
        <v>34</v>
      </c>
      <c r="DA138" s="6">
        <v>1</v>
      </c>
      <c r="DB138" s="6" t="s">
        <v>51</v>
      </c>
      <c r="DC138" s="6" t="s">
        <v>8</v>
      </c>
    </row>
    <row r="139" spans="1:120" s="6" customFormat="1">
      <c r="A139" s="6" t="str">
        <f>HYPERLINK(".\links\pep\TI-240-pep.txt","TI-240")</f>
        <v>TI-240</v>
      </c>
      <c r="B139" s="6">
        <v>240</v>
      </c>
      <c r="C139" s="6" t="s">
        <v>13</v>
      </c>
      <c r="D139" s="6">
        <v>44</v>
      </c>
      <c r="E139" s="6">
        <v>0</v>
      </c>
      <c r="F139" s="6" t="str">
        <f>HYPERLINK(".\links\cds\TI-240-cds.txt","TI-240")</f>
        <v>TI-240</v>
      </c>
      <c r="G139" s="6">
        <v>135</v>
      </c>
      <c r="I139" s="6" t="s">
        <v>8</v>
      </c>
      <c r="J139" s="6" t="s">
        <v>6</v>
      </c>
      <c r="K139" s="6">
        <v>2</v>
      </c>
      <c r="L139" s="6">
        <v>0</v>
      </c>
      <c r="M139" s="6">
        <f t="shared" si="6"/>
        <v>2</v>
      </c>
      <c r="N139" s="6">
        <f t="shared" si="7"/>
        <v>2</v>
      </c>
      <c r="O139" s="6" t="s">
        <v>1170</v>
      </c>
      <c r="P139" s="6" t="s">
        <v>1171</v>
      </c>
      <c r="T139" s="6" t="s">
        <v>8</v>
      </c>
      <c r="AK139" s="6" t="s">
        <v>8</v>
      </c>
      <c r="AY139" s="6" t="s">
        <v>8</v>
      </c>
      <c r="BL139" s="6" t="s">
        <v>8</v>
      </c>
      <c r="CC139" s="6" t="s">
        <v>8</v>
      </c>
      <c r="CF139" s="6" t="s">
        <v>8</v>
      </c>
      <c r="CI139" s="6" t="s">
        <v>8</v>
      </c>
      <c r="CK139" s="6" t="s">
        <v>8</v>
      </c>
      <c r="CM139" s="6" t="s">
        <v>8</v>
      </c>
      <c r="CO139" s="6" t="s">
        <v>8</v>
      </c>
      <c r="DC139" s="6" t="s">
        <v>8</v>
      </c>
    </row>
    <row r="140" spans="1:120" s="6" customFormat="1">
      <c r="A140" t="str">
        <f>HYPERLINK(".\links\pep\TI-241-pep.txt","TI-241")</f>
        <v>TI-241</v>
      </c>
      <c r="B140">
        <v>241</v>
      </c>
      <c r="C140" t="s">
        <v>17</v>
      </c>
      <c r="D140">
        <v>263</v>
      </c>
      <c r="E140">
        <v>0</v>
      </c>
      <c r="F140" t="str">
        <f>HYPERLINK(".\links\cds\TI-241-cds.txt","TI-241")</f>
        <v>TI-241</v>
      </c>
      <c r="G140">
        <v>792</v>
      </c>
      <c r="H140"/>
      <c r="I140" t="s">
        <v>8</v>
      </c>
      <c r="J140" t="s">
        <v>6</v>
      </c>
      <c r="K140">
        <v>2</v>
      </c>
      <c r="L140">
        <v>0</v>
      </c>
      <c r="M140">
        <f t="shared" si="6"/>
        <v>2</v>
      </c>
      <c r="N140">
        <f t="shared" si="7"/>
        <v>2</v>
      </c>
      <c r="O140" t="s">
        <v>1301</v>
      </c>
      <c r="P140" t="s">
        <v>1178</v>
      </c>
      <c r="Q140" t="str">
        <f>HYPERLINK(".\links\NR-LIGHT\TI-241-NR-LIGHT.txt","NR-LIGHT")</f>
        <v>NR-LIGHT</v>
      </c>
      <c r="R140">
        <v>9.9999999999999994E-12</v>
      </c>
      <c r="S140">
        <v>83.7</v>
      </c>
      <c r="T140" t="str">
        <f>HYPERLINK(".\links\NR-LIGHT\TI-241-NR-LIGHT.txt","hypothetical protein AaeL_AAEL012646")</f>
        <v>hypothetical protein AaeL_AAEL012646</v>
      </c>
      <c r="U140" t="str">
        <f>HYPERLINK("http://www.ncbi.nlm.nih.gov/sutils/blink.cgi?pid=157133150","1E-011")</f>
        <v>1E-011</v>
      </c>
      <c r="V140" t="str">
        <f>HYPERLINK("http://www.ncbi.nlm.nih.gov/protein/157133150","gi|157133150")</f>
        <v>gi|157133150</v>
      </c>
      <c r="W140">
        <v>72.8</v>
      </c>
      <c r="X140">
        <v>218</v>
      </c>
      <c r="Y140">
        <v>277</v>
      </c>
      <c r="Z140">
        <v>32</v>
      </c>
      <c r="AA140">
        <v>79</v>
      </c>
      <c r="AB140">
        <v>156</v>
      </c>
      <c r="AC140">
        <v>25</v>
      </c>
      <c r="AD140">
        <v>37</v>
      </c>
      <c r="AE140">
        <v>30</v>
      </c>
      <c r="AF140">
        <v>1</v>
      </c>
      <c r="AG140"/>
      <c r="AH140" t="s">
        <v>13</v>
      </c>
      <c r="AI140" t="s">
        <v>51</v>
      </c>
      <c r="AJ140" t="s">
        <v>76</v>
      </c>
      <c r="AK140" t="s">
        <v>8</v>
      </c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 t="str">
        <f>HYPERLINK(".\links\PREV-RHOD-PEP\TI-241-PREV-RHOD-PEP.txt","Contig18037_4")</f>
        <v>Contig18037_4</v>
      </c>
      <c r="AZ140" s="3">
        <v>8.9999999999999995E-91</v>
      </c>
      <c r="BA140" t="s">
        <v>1087</v>
      </c>
      <c r="BB140">
        <v>329</v>
      </c>
      <c r="BC140">
        <v>237</v>
      </c>
      <c r="BD140">
        <v>574</v>
      </c>
      <c r="BE140">
        <v>65</v>
      </c>
      <c r="BF140">
        <v>41</v>
      </c>
      <c r="BG140">
        <v>81</v>
      </c>
      <c r="BH140">
        <v>1</v>
      </c>
      <c r="BI140">
        <v>310</v>
      </c>
      <c r="BJ140">
        <v>9</v>
      </c>
      <c r="BK140">
        <v>1</v>
      </c>
      <c r="BL140" t="s">
        <v>734</v>
      </c>
      <c r="BM140">
        <f>HYPERLINK(".\links\GO\TI-241-GO.txt",0.0007)</f>
        <v>6.9999999999999999E-4</v>
      </c>
      <c r="BN140" t="s">
        <v>586</v>
      </c>
      <c r="BO140" t="s">
        <v>330</v>
      </c>
      <c r="BP140" t="s">
        <v>587</v>
      </c>
      <c r="BQ140" t="s">
        <v>588</v>
      </c>
      <c r="BR140">
        <v>6.9999999999999999E-4</v>
      </c>
      <c r="BS140" t="s">
        <v>8</v>
      </c>
      <c r="BT140" t="s">
        <v>8</v>
      </c>
      <c r="BU140" t="s">
        <v>8</v>
      </c>
      <c r="BV140" t="s">
        <v>8</v>
      </c>
      <c r="BW140" t="s">
        <v>8</v>
      </c>
      <c r="BX140" t="s">
        <v>8</v>
      </c>
      <c r="BY140" t="s">
        <v>8</v>
      </c>
      <c r="BZ140" t="s">
        <v>8</v>
      </c>
      <c r="CA140" t="s">
        <v>8</v>
      </c>
      <c r="CB140" t="s">
        <v>8</v>
      </c>
      <c r="CC140" t="s">
        <v>8</v>
      </c>
      <c r="CD140"/>
      <c r="CE140"/>
      <c r="CF140" t="s">
        <v>8</v>
      </c>
      <c r="CG140"/>
      <c r="CH140"/>
      <c r="CI140" t="s">
        <v>8</v>
      </c>
      <c r="CJ140"/>
      <c r="CK140" t="s">
        <v>8</v>
      </c>
      <c r="CL140"/>
      <c r="CM140" t="s">
        <v>8</v>
      </c>
      <c r="CN140"/>
      <c r="CO140" t="s">
        <v>8</v>
      </c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 t="s">
        <v>8</v>
      </c>
      <c r="DD140"/>
      <c r="DE140"/>
      <c r="DF140"/>
      <c r="DG140"/>
      <c r="DH140"/>
      <c r="DI140"/>
      <c r="DJ140"/>
      <c r="DK140"/>
      <c r="DL140"/>
      <c r="DM140"/>
      <c r="DN140"/>
      <c r="DO140"/>
      <c r="DP140"/>
    </row>
    <row r="141" spans="1:120" s="6" customFormat="1">
      <c r="A141" t="str">
        <f>HYPERLINK(".\links\pep\TI-242-pep.txt","TI-242")</f>
        <v>TI-242</v>
      </c>
      <c r="B141">
        <v>242</v>
      </c>
      <c r="C141" t="s">
        <v>16</v>
      </c>
      <c r="D141">
        <v>167</v>
      </c>
      <c r="E141">
        <v>0</v>
      </c>
      <c r="F141" t="str">
        <f>HYPERLINK(".\links\cds\TI-242-cds.txt","TI-242")</f>
        <v>TI-242</v>
      </c>
      <c r="G141">
        <v>499</v>
      </c>
      <c r="H141"/>
      <c r="I141" t="s">
        <v>8</v>
      </c>
      <c r="J141" t="s">
        <v>8</v>
      </c>
      <c r="K141">
        <v>0</v>
      </c>
      <c r="L141">
        <v>2</v>
      </c>
      <c r="M141">
        <f t="shared" si="6"/>
        <v>-2</v>
      </c>
      <c r="N141">
        <f t="shared" si="7"/>
        <v>2</v>
      </c>
      <c r="O141" t="s">
        <v>1298</v>
      </c>
      <c r="P141" t="s">
        <v>1172</v>
      </c>
      <c r="Q141" t="str">
        <f>HYPERLINK(".\links\NR-LIGHT\TI-242-NR-LIGHT.txt","NR-LIGHT")</f>
        <v>NR-LIGHT</v>
      </c>
      <c r="R141" s="3">
        <v>2.0000000000000001E-33</v>
      </c>
      <c r="S141">
        <v>17.899999999999999</v>
      </c>
      <c r="T141" t="str">
        <f>HYPERLINK(".\links\NR-LIGHT\TI-242-NR-LIGHT.txt","putative inorganic phosphate cotransporter-like isoform 1")</f>
        <v>putative inorganic phosphate cotransporter-like isoform 1</v>
      </c>
      <c r="U141" t="str">
        <f>HYPERLINK("http://www.ncbi.nlm.nih.gov/sutils/blink.cgi?pid=328709271","2E-033")</f>
        <v>2E-033</v>
      </c>
      <c r="V141" t="str">
        <f>HYPERLINK("http://www.ncbi.nlm.nih.gov/protein/328709271","gi|328709271")</f>
        <v>gi|328709271</v>
      </c>
      <c r="W141">
        <v>143</v>
      </c>
      <c r="X141">
        <v>110</v>
      </c>
      <c r="Y141">
        <v>617</v>
      </c>
      <c r="Z141">
        <v>60</v>
      </c>
      <c r="AA141">
        <v>18</v>
      </c>
      <c r="AB141">
        <v>44</v>
      </c>
      <c r="AC141">
        <v>1</v>
      </c>
      <c r="AD141">
        <v>117</v>
      </c>
      <c r="AE141">
        <v>47</v>
      </c>
      <c r="AF141">
        <v>1</v>
      </c>
      <c r="AG141"/>
      <c r="AH141" t="s">
        <v>13</v>
      </c>
      <c r="AI141" t="s">
        <v>51</v>
      </c>
      <c r="AJ141" t="s">
        <v>264</v>
      </c>
      <c r="AK141" t="str">
        <f>HYPERLINK(".\links\SWISSP\TI-242-SWISSP.txt","Putative inorganic phosphate cotransporter OS=Drosophila melanogaster GN=Picot")</f>
        <v>Putative inorganic phosphate cotransporter OS=Drosophila melanogaster GN=Picot</v>
      </c>
      <c r="AL141" t="str">
        <f>HYPERLINK("http://www.uniprot.org/uniprot/Q9V7S5","2E-024")</f>
        <v>2E-024</v>
      </c>
      <c r="AM141" t="s">
        <v>50</v>
      </c>
      <c r="AN141">
        <v>111</v>
      </c>
      <c r="AO141">
        <v>93</v>
      </c>
      <c r="AP141">
        <v>529</v>
      </c>
      <c r="AQ141">
        <v>56</v>
      </c>
      <c r="AR141">
        <v>18</v>
      </c>
      <c r="AS141">
        <v>43</v>
      </c>
      <c r="AT141">
        <v>6</v>
      </c>
      <c r="AU141">
        <v>37</v>
      </c>
      <c r="AV141">
        <v>59</v>
      </c>
      <c r="AW141">
        <v>1</v>
      </c>
      <c r="AX141" t="s">
        <v>52</v>
      </c>
      <c r="AY141" t="str">
        <f>HYPERLINK(".\links\PREV-RHOD-PEP\TI-242-PREV-RHOD-PEP.txt","Contig17873_2")</f>
        <v>Contig17873_2</v>
      </c>
      <c r="AZ141" s="3">
        <v>1E-46</v>
      </c>
      <c r="BA141" t="s">
        <v>983</v>
      </c>
      <c r="BB141">
        <v>181</v>
      </c>
      <c r="BC141">
        <v>100</v>
      </c>
      <c r="BD141">
        <v>466</v>
      </c>
      <c r="BE141">
        <v>82</v>
      </c>
      <c r="BF141">
        <v>22</v>
      </c>
      <c r="BG141">
        <v>18</v>
      </c>
      <c r="BH141">
        <v>0</v>
      </c>
      <c r="BI141">
        <v>36</v>
      </c>
      <c r="BJ141">
        <v>56</v>
      </c>
      <c r="BK141">
        <v>1</v>
      </c>
      <c r="BL141" t="s">
        <v>317</v>
      </c>
      <c r="BM141">
        <f>HYPERLINK(".\links\GO\TI-242-GO.txt",5E-25)</f>
        <v>4.9999999999999996E-25</v>
      </c>
      <c r="BN141" t="s">
        <v>318</v>
      </c>
      <c r="BO141" t="s">
        <v>319</v>
      </c>
      <c r="BP141" t="s">
        <v>320</v>
      </c>
      <c r="BQ141" t="s">
        <v>321</v>
      </c>
      <c r="BR141" s="3">
        <v>4.9999999999999996E-25</v>
      </c>
      <c r="BS141" t="s">
        <v>322</v>
      </c>
      <c r="BT141" t="s">
        <v>323</v>
      </c>
      <c r="BU141" t="s">
        <v>324</v>
      </c>
      <c r="BV141" t="s">
        <v>325</v>
      </c>
      <c r="BW141" s="3">
        <v>4.9999999999999996E-25</v>
      </c>
      <c r="BX141" t="s">
        <v>326</v>
      </c>
      <c r="BY141" t="s">
        <v>319</v>
      </c>
      <c r="BZ141" t="s">
        <v>320</v>
      </c>
      <c r="CA141" t="s">
        <v>327</v>
      </c>
      <c r="CB141" s="3">
        <v>4.9999999999999996E-25</v>
      </c>
      <c r="CC141" t="s">
        <v>8</v>
      </c>
      <c r="CD141"/>
      <c r="CE141"/>
      <c r="CF141" t="s">
        <v>8</v>
      </c>
      <c r="CG141"/>
      <c r="CH141"/>
      <c r="CI141" t="s">
        <v>8</v>
      </c>
      <c r="CJ141"/>
      <c r="CK141" t="s">
        <v>8</v>
      </c>
      <c r="CL141"/>
      <c r="CM141" t="s">
        <v>8</v>
      </c>
      <c r="CN141"/>
      <c r="CO141" t="s">
        <v>8</v>
      </c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 t="s">
        <v>8</v>
      </c>
      <c r="DD141"/>
      <c r="DE141"/>
      <c r="DF141"/>
      <c r="DG141"/>
      <c r="DH141"/>
      <c r="DI141"/>
      <c r="DJ141"/>
      <c r="DK141"/>
      <c r="DL141"/>
      <c r="DM141"/>
      <c r="DN141"/>
      <c r="DO141"/>
      <c r="DP141"/>
    </row>
    <row r="142" spans="1:120" s="6" customFormat="1">
      <c r="A142" s="6" t="str">
        <f>HYPERLINK(".\links\pep\TI-243-pep.txt","TI-243")</f>
        <v>TI-243</v>
      </c>
      <c r="B142" s="6">
        <v>243</v>
      </c>
      <c r="C142" s="6" t="s">
        <v>24</v>
      </c>
      <c r="D142" s="6">
        <v>82</v>
      </c>
      <c r="E142" s="6">
        <v>0</v>
      </c>
      <c r="F142" s="6" t="str">
        <f>HYPERLINK(".\links\cds\TI-243-cds.txt","TI-243")</f>
        <v>TI-243</v>
      </c>
      <c r="G142" s="6">
        <v>244</v>
      </c>
      <c r="I142" s="6" t="s">
        <v>8</v>
      </c>
      <c r="J142" s="6" t="s">
        <v>8</v>
      </c>
      <c r="K142" s="6">
        <v>1</v>
      </c>
      <c r="L142" s="6">
        <v>0</v>
      </c>
      <c r="M142" s="6">
        <f t="shared" si="6"/>
        <v>1</v>
      </c>
      <c r="N142" s="6">
        <f t="shared" si="7"/>
        <v>1</v>
      </c>
      <c r="O142" s="6" t="s">
        <v>1170</v>
      </c>
      <c r="P142" s="6" t="s">
        <v>1171</v>
      </c>
      <c r="T142" s="6" t="str">
        <f>HYPERLINK(".\links\NR-LIGHT\TI-243-NR-LIGHT.txt","similar to chondroitin sulfate proteoglycan 3, partial")</f>
        <v>similar to chondroitin sulfate proteoglycan 3, partial</v>
      </c>
      <c r="U142" s="6" t="str">
        <f>HYPERLINK("http://www.ncbi.nlm.nih.gov/sutils/blink.cgi?pid=198415233","2.7")</f>
        <v>2.7</v>
      </c>
      <c r="V142" s="6" t="str">
        <f>HYPERLINK("http://www.ncbi.nlm.nih.gov/protein/198415233","gi|198415233")</f>
        <v>gi|198415233</v>
      </c>
      <c r="W142" s="6">
        <v>33.1</v>
      </c>
      <c r="X142" s="6">
        <v>48</v>
      </c>
      <c r="Y142" s="6">
        <v>1487</v>
      </c>
      <c r="Z142" s="6">
        <v>34</v>
      </c>
      <c r="AA142" s="6">
        <v>3</v>
      </c>
      <c r="AB142" s="6">
        <v>36</v>
      </c>
      <c r="AC142" s="6">
        <v>6</v>
      </c>
      <c r="AD142" s="6">
        <v>1269</v>
      </c>
      <c r="AE142" s="6">
        <v>17</v>
      </c>
      <c r="AF142" s="6">
        <v>1</v>
      </c>
      <c r="AH142" s="6" t="s">
        <v>13</v>
      </c>
      <c r="AI142" s="6" t="s">
        <v>51</v>
      </c>
      <c r="AJ142" s="6" t="s">
        <v>287</v>
      </c>
      <c r="AK142" s="6" t="s">
        <v>8</v>
      </c>
      <c r="AY142" s="6" t="str">
        <f>HYPERLINK(".\links\PREV-RHOD-PEP\TI-243-PREV-RHOD-PEP.txt","Contig17728_54")</f>
        <v>Contig17728_54</v>
      </c>
      <c r="AZ142" s="8">
        <v>3.0000000000000001E-17</v>
      </c>
      <c r="BA142" s="6" t="s">
        <v>1088</v>
      </c>
      <c r="BB142" s="6">
        <v>83.6</v>
      </c>
      <c r="BC142" s="6">
        <v>49</v>
      </c>
      <c r="BD142" s="6">
        <v>473</v>
      </c>
      <c r="BE142" s="6">
        <v>80</v>
      </c>
      <c r="BF142" s="6">
        <v>11</v>
      </c>
      <c r="BG142" s="6">
        <v>10</v>
      </c>
      <c r="BH142" s="6">
        <v>1</v>
      </c>
      <c r="BI142" s="6">
        <v>1</v>
      </c>
      <c r="BJ142" s="6">
        <v>34</v>
      </c>
      <c r="BK142" s="6">
        <v>1</v>
      </c>
      <c r="BL142" s="6" t="s">
        <v>8</v>
      </c>
      <c r="CC142" s="6" t="s">
        <v>8</v>
      </c>
      <c r="CF142" s="6" t="s">
        <v>8</v>
      </c>
      <c r="CI142" s="6" t="s">
        <v>8</v>
      </c>
      <c r="CK142" s="6" t="s">
        <v>8</v>
      </c>
      <c r="CM142" s="6" t="s">
        <v>8</v>
      </c>
      <c r="CO142" s="6" t="s">
        <v>8</v>
      </c>
      <c r="DC142" s="6" t="s">
        <v>8</v>
      </c>
    </row>
    <row r="143" spans="1:120" s="6" customFormat="1">
      <c r="A143" s="6" t="str">
        <f>HYPERLINK(".\links\pep\TI-248-pep.txt","TI-248")</f>
        <v>TI-248</v>
      </c>
      <c r="B143" s="6">
        <v>248</v>
      </c>
      <c r="C143" s="6" t="s">
        <v>11</v>
      </c>
      <c r="D143" s="6">
        <v>42</v>
      </c>
      <c r="E143" s="6">
        <v>0</v>
      </c>
      <c r="F143" s="6" t="str">
        <f>HYPERLINK(".\links\cds\TI-248-cds.txt","TI-248")</f>
        <v>TI-248</v>
      </c>
      <c r="G143" s="6">
        <v>129</v>
      </c>
      <c r="I143" s="6" t="s">
        <v>8</v>
      </c>
      <c r="J143" s="6" t="s">
        <v>6</v>
      </c>
      <c r="K143" s="6">
        <v>0</v>
      </c>
      <c r="L143" s="6">
        <v>1</v>
      </c>
      <c r="M143" s="6">
        <f t="shared" si="6"/>
        <v>-1</v>
      </c>
      <c r="N143" s="6">
        <f t="shared" si="7"/>
        <v>1</v>
      </c>
      <c r="O143" s="6" t="s">
        <v>1170</v>
      </c>
      <c r="P143" s="6" t="s">
        <v>1171</v>
      </c>
      <c r="T143" s="6" t="s">
        <v>8</v>
      </c>
      <c r="AK143" s="6" t="s">
        <v>8</v>
      </c>
      <c r="AY143" s="6" t="s">
        <v>8</v>
      </c>
      <c r="BL143" s="6" t="s">
        <v>8</v>
      </c>
      <c r="CC143" s="6" t="s">
        <v>8</v>
      </c>
      <c r="CF143" s="6" t="s">
        <v>8</v>
      </c>
      <c r="CI143" s="6" t="s">
        <v>8</v>
      </c>
      <c r="CK143" s="6" t="s">
        <v>8</v>
      </c>
      <c r="CM143" s="6" t="s">
        <v>8</v>
      </c>
      <c r="CO143" s="6" t="s">
        <v>8</v>
      </c>
      <c r="DC143" s="6" t="s">
        <v>8</v>
      </c>
    </row>
    <row r="144" spans="1:120" s="6" customFormat="1">
      <c r="A144" t="str">
        <f>HYPERLINK(".\links\pep\TI-249-pep.txt","TI-249")</f>
        <v>TI-249</v>
      </c>
      <c r="B144">
        <v>249</v>
      </c>
      <c r="C144" t="s">
        <v>7</v>
      </c>
      <c r="D144">
        <v>162</v>
      </c>
      <c r="E144">
        <v>0</v>
      </c>
      <c r="F144" t="str">
        <f>HYPERLINK(".\links\cds\TI-249-cds.txt","TI-249")</f>
        <v>TI-249</v>
      </c>
      <c r="G144">
        <v>489</v>
      </c>
      <c r="H144"/>
      <c r="I144" t="s">
        <v>29</v>
      </c>
      <c r="J144" t="s">
        <v>6</v>
      </c>
      <c r="K144">
        <v>0</v>
      </c>
      <c r="L144">
        <v>1</v>
      </c>
      <c r="M144">
        <f t="shared" si="6"/>
        <v>-1</v>
      </c>
      <c r="N144">
        <f t="shared" si="7"/>
        <v>1</v>
      </c>
      <c r="O144" t="s">
        <v>1302</v>
      </c>
      <c r="P144" t="s">
        <v>1213</v>
      </c>
      <c r="Q144" t="str">
        <f>HYPERLINK(".\links\NR-LIGHT\TI-249-NR-LIGHT.txt","NR-LIGHT")</f>
        <v>NR-LIGHT</v>
      </c>
      <c r="R144" s="3">
        <v>2.0000000000000001E-53</v>
      </c>
      <c r="S144">
        <v>73.7</v>
      </c>
      <c r="T144" t="str">
        <f>HYPERLINK(".\links\NR-LIGHT\TI-249-NR-LIGHT.txt","PPPDE peptidase domain-containing protein 1-like isoform 1")</f>
        <v>PPPDE peptidase domain-containing protein 1-like isoform 1</v>
      </c>
      <c r="U144" t="str">
        <f>HYPERLINK("http://www.ncbi.nlm.nih.gov/sutils/blink.cgi?pid=328786383","2E-053")</f>
        <v>2E-053</v>
      </c>
      <c r="V144" t="str">
        <f>HYPERLINK("http://www.ncbi.nlm.nih.gov/protein/328786383","gi|328786383")</f>
        <v>gi|328786383</v>
      </c>
      <c r="W144">
        <v>209</v>
      </c>
      <c r="X144">
        <v>149</v>
      </c>
      <c r="Y144">
        <v>206</v>
      </c>
      <c r="Z144">
        <v>68</v>
      </c>
      <c r="AA144">
        <v>73</v>
      </c>
      <c r="AB144">
        <v>48</v>
      </c>
      <c r="AC144">
        <v>4</v>
      </c>
      <c r="AD144">
        <v>2</v>
      </c>
      <c r="AE144">
        <v>1</v>
      </c>
      <c r="AF144">
        <v>1</v>
      </c>
      <c r="AG144"/>
      <c r="AH144" t="s">
        <v>13</v>
      </c>
      <c r="AI144" t="s">
        <v>51</v>
      </c>
      <c r="AJ144" t="s">
        <v>83</v>
      </c>
      <c r="AK144" t="str">
        <f>HYPERLINK(".\links\SWISSP\TI-249-SWISSP.txt","PPPDE peptidase domain-containing protein 1 OS=Danio rerio GN=pppde1 PE=2 SV=1")</f>
        <v>PPPDE peptidase domain-containing protein 1 OS=Danio rerio GN=pppde1 PE=2 SV=1</v>
      </c>
      <c r="AL144" t="str">
        <f>HYPERLINK("http://www.uniprot.org/uniprot/Q6DC39","3E-046")</f>
        <v>3E-046</v>
      </c>
      <c r="AM144" t="s">
        <v>172</v>
      </c>
      <c r="AN144">
        <v>184</v>
      </c>
      <c r="AO144">
        <v>121</v>
      </c>
      <c r="AP144">
        <v>196</v>
      </c>
      <c r="AQ144">
        <v>64</v>
      </c>
      <c r="AR144">
        <v>62</v>
      </c>
      <c r="AS144">
        <v>43</v>
      </c>
      <c r="AT144">
        <v>0</v>
      </c>
      <c r="AU144">
        <v>1</v>
      </c>
      <c r="AV144">
        <v>29</v>
      </c>
      <c r="AW144">
        <v>1</v>
      </c>
      <c r="AX144" t="s">
        <v>85</v>
      </c>
      <c r="AY144" t="str">
        <f>HYPERLINK(".\links\PREV-RHOD-PEP\TI-249-PREV-RHOD-PEP.txt","Contig17604_48")</f>
        <v>Contig17604_48</v>
      </c>
      <c r="AZ144" s="3">
        <v>9.9999999999999993E-77</v>
      </c>
      <c r="BA144" t="s">
        <v>1089</v>
      </c>
      <c r="BB144">
        <v>281</v>
      </c>
      <c r="BC144">
        <v>138</v>
      </c>
      <c r="BD144">
        <v>200</v>
      </c>
      <c r="BE144">
        <v>93</v>
      </c>
      <c r="BF144">
        <v>70</v>
      </c>
      <c r="BG144">
        <v>9</v>
      </c>
      <c r="BH144">
        <v>0</v>
      </c>
      <c r="BI144">
        <v>13</v>
      </c>
      <c r="BJ144">
        <v>6</v>
      </c>
      <c r="BK144">
        <v>1</v>
      </c>
      <c r="BL144" t="s">
        <v>735</v>
      </c>
      <c r="BM144">
        <f>HYPERLINK(".\links\GO\TI-249-GO.txt",8E-47)</f>
        <v>7.9999999999999998E-47</v>
      </c>
      <c r="BN144" t="s">
        <v>373</v>
      </c>
      <c r="BO144" t="s">
        <v>373</v>
      </c>
      <c r="BP144"/>
      <c r="BQ144" t="s">
        <v>374</v>
      </c>
      <c r="BR144" s="3">
        <v>7.9999999999999998E-47</v>
      </c>
      <c r="BS144" t="s">
        <v>375</v>
      </c>
      <c r="BT144" t="s">
        <v>375</v>
      </c>
      <c r="BU144"/>
      <c r="BV144" t="s">
        <v>376</v>
      </c>
      <c r="BW144" s="3">
        <v>7.9999999999999998E-47</v>
      </c>
      <c r="BX144" t="s">
        <v>736</v>
      </c>
      <c r="BY144" t="s">
        <v>373</v>
      </c>
      <c r="BZ144"/>
      <c r="CA144" t="s">
        <v>737</v>
      </c>
      <c r="CB144" s="3">
        <v>7.9999999999999998E-47</v>
      </c>
      <c r="CC144" t="s">
        <v>8</v>
      </c>
      <c r="CD144"/>
      <c r="CE144"/>
      <c r="CF144" t="s">
        <v>8</v>
      </c>
      <c r="CG144"/>
      <c r="CH144"/>
      <c r="CI144" t="s">
        <v>8</v>
      </c>
      <c r="CJ144"/>
      <c r="CK144" t="s">
        <v>8</v>
      </c>
      <c r="CL144"/>
      <c r="CM144" t="s">
        <v>8</v>
      </c>
      <c r="CN144"/>
      <c r="CO144" t="s">
        <v>8</v>
      </c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 t="s">
        <v>8</v>
      </c>
      <c r="DD144"/>
      <c r="DE144"/>
      <c r="DF144"/>
      <c r="DG144"/>
      <c r="DH144"/>
      <c r="DI144"/>
      <c r="DJ144"/>
      <c r="DK144"/>
      <c r="DL144"/>
      <c r="DM144"/>
      <c r="DN144"/>
      <c r="DO144"/>
      <c r="DP144"/>
    </row>
    <row r="145" spans="1:120" s="6" customFormat="1">
      <c r="A145" t="str">
        <f>HYPERLINK(".\links\pep\TI-250-pep.txt","TI-250")</f>
        <v>TI-250</v>
      </c>
      <c r="B145">
        <v>250</v>
      </c>
      <c r="C145" t="s">
        <v>16</v>
      </c>
      <c r="D145">
        <v>155</v>
      </c>
      <c r="E145">
        <v>0</v>
      </c>
      <c r="F145" t="str">
        <f>HYPERLINK(".\links\cds\TI-250-cds.txt","TI-250")</f>
        <v>TI-250</v>
      </c>
      <c r="G145">
        <v>468</v>
      </c>
      <c r="H145"/>
      <c r="I145" t="s">
        <v>8</v>
      </c>
      <c r="J145" t="s">
        <v>6</v>
      </c>
      <c r="K145">
        <v>0</v>
      </c>
      <c r="L145">
        <v>1</v>
      </c>
      <c r="M145">
        <f t="shared" si="6"/>
        <v>-1</v>
      </c>
      <c r="N145">
        <f t="shared" si="7"/>
        <v>1</v>
      </c>
      <c r="O145" t="s">
        <v>1303</v>
      </c>
      <c r="P145" t="s">
        <v>1169</v>
      </c>
      <c r="Q145" t="str">
        <f>HYPERLINK(".\links\NR-LIGHT\TI-250-NR-LIGHT.txt","NR-LIGHT")</f>
        <v>NR-LIGHT</v>
      </c>
      <c r="R145" s="3">
        <v>3E-57</v>
      </c>
      <c r="S145">
        <v>78.2</v>
      </c>
      <c r="T145" t="str">
        <f>HYPERLINK(".\links\NR-LIGHT\TI-250-NR-LIGHT.txt","40S ribosomal protein S14, putative")</f>
        <v>40S ribosomal protein S14, putative</v>
      </c>
      <c r="U145" t="str">
        <f>HYPERLINK("http://www.ncbi.nlm.nih.gov/sutils/blink.cgi?pid=242012371","3E-057")</f>
        <v>3E-057</v>
      </c>
      <c r="V145" t="str">
        <f>HYPERLINK("http://www.ncbi.nlm.nih.gov/protein/242012371","gi|242012371")</f>
        <v>gi|242012371</v>
      </c>
      <c r="W145">
        <v>222</v>
      </c>
      <c r="X145">
        <v>139</v>
      </c>
      <c r="Y145">
        <v>179</v>
      </c>
      <c r="Z145">
        <v>79</v>
      </c>
      <c r="AA145">
        <v>78</v>
      </c>
      <c r="AB145">
        <v>29</v>
      </c>
      <c r="AC145">
        <v>0</v>
      </c>
      <c r="AD145">
        <v>1</v>
      </c>
      <c r="AE145">
        <v>5</v>
      </c>
      <c r="AF145">
        <v>1</v>
      </c>
      <c r="AG145"/>
      <c r="AH145" t="s">
        <v>13</v>
      </c>
      <c r="AI145" t="s">
        <v>51</v>
      </c>
      <c r="AJ145" t="s">
        <v>268</v>
      </c>
      <c r="AK145" t="str">
        <f>HYPERLINK(".\links\SWISSP\TI-250-SWISSP.txt","40S ribosomal protein S14 OS=Drosophila melanogaster GN=RpS14a PE=1 SV=1")</f>
        <v>40S ribosomal protein S14 OS=Drosophila melanogaster GN=RpS14a PE=1 SV=1</v>
      </c>
      <c r="AL145" t="str">
        <f>HYPERLINK("http://www.uniprot.org/uniprot/P14130","2E-055")</f>
        <v>2E-055</v>
      </c>
      <c r="AM145" t="s">
        <v>173</v>
      </c>
      <c r="AN145">
        <v>214</v>
      </c>
      <c r="AO145">
        <v>139</v>
      </c>
      <c r="AP145">
        <v>151</v>
      </c>
      <c r="AQ145">
        <v>75</v>
      </c>
      <c r="AR145">
        <v>93</v>
      </c>
      <c r="AS145">
        <v>34</v>
      </c>
      <c r="AT145">
        <v>0</v>
      </c>
      <c r="AU145">
        <v>1</v>
      </c>
      <c r="AV145">
        <v>5</v>
      </c>
      <c r="AW145">
        <v>1</v>
      </c>
      <c r="AX145" t="s">
        <v>52</v>
      </c>
      <c r="AY145" t="str">
        <f>HYPERLINK(".\links\PREV-RHOD-PEP\TI-250-PREV-RHOD-PEP.txt","Contig6820_5")</f>
        <v>Contig6820_5</v>
      </c>
      <c r="AZ145" s="3">
        <v>9.9999999999999999E-56</v>
      </c>
      <c r="BA145" t="s">
        <v>1090</v>
      </c>
      <c r="BB145">
        <v>211</v>
      </c>
      <c r="BC145">
        <v>139</v>
      </c>
      <c r="BD145">
        <v>151</v>
      </c>
      <c r="BE145">
        <v>81</v>
      </c>
      <c r="BF145">
        <v>93</v>
      </c>
      <c r="BG145">
        <v>26</v>
      </c>
      <c r="BH145">
        <v>0</v>
      </c>
      <c r="BI145">
        <v>1</v>
      </c>
      <c r="BJ145">
        <v>5</v>
      </c>
      <c r="BK145">
        <v>1</v>
      </c>
      <c r="BL145" t="s">
        <v>738</v>
      </c>
      <c r="BM145">
        <f>HYPERLINK(".\links\GO\TI-250-GO.txt",7E-56)</f>
        <v>6.9999999999999996E-56</v>
      </c>
      <c r="BN145" t="s">
        <v>329</v>
      </c>
      <c r="BO145" t="s">
        <v>330</v>
      </c>
      <c r="BP145" t="s">
        <v>331</v>
      </c>
      <c r="BQ145" t="s">
        <v>332</v>
      </c>
      <c r="BR145" s="3">
        <v>6.9999999999999996E-56</v>
      </c>
      <c r="BS145" t="s">
        <v>739</v>
      </c>
      <c r="BT145" t="s">
        <v>323</v>
      </c>
      <c r="BU145" t="s">
        <v>334</v>
      </c>
      <c r="BV145" t="s">
        <v>740</v>
      </c>
      <c r="BW145" s="3">
        <v>6.9999999999999996E-56</v>
      </c>
      <c r="BX145" t="s">
        <v>336</v>
      </c>
      <c r="BY145" t="s">
        <v>330</v>
      </c>
      <c r="BZ145" t="s">
        <v>331</v>
      </c>
      <c r="CA145" t="s">
        <v>337</v>
      </c>
      <c r="CB145" s="3">
        <v>6.9999999999999996E-56</v>
      </c>
      <c r="CC145" t="s">
        <v>8</v>
      </c>
      <c r="CD145"/>
      <c r="CE145"/>
      <c r="CF145" t="s">
        <v>8</v>
      </c>
      <c r="CG145"/>
      <c r="CH145"/>
      <c r="CI145" t="s">
        <v>8</v>
      </c>
      <c r="CJ145"/>
      <c r="CK145" t="s">
        <v>8</v>
      </c>
      <c r="CL145"/>
      <c r="CM145" t="s">
        <v>8</v>
      </c>
      <c r="CN145"/>
      <c r="CO145" t="s">
        <v>8</v>
      </c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 t="s">
        <v>8</v>
      </c>
      <c r="DD145"/>
      <c r="DE145"/>
      <c r="DF145"/>
      <c r="DG145"/>
      <c r="DH145"/>
      <c r="DI145"/>
      <c r="DJ145"/>
      <c r="DK145"/>
      <c r="DL145"/>
      <c r="DM145"/>
      <c r="DN145"/>
      <c r="DO145"/>
      <c r="DP145"/>
    </row>
    <row r="146" spans="1:120" s="6" customFormat="1">
      <c r="A146" t="str">
        <f>HYPERLINK(".\links\pep\TI-254-pep.txt","TI-254")</f>
        <v>TI-254</v>
      </c>
      <c r="B146">
        <v>254</v>
      </c>
      <c r="C146" t="s">
        <v>7</v>
      </c>
      <c r="D146">
        <v>72</v>
      </c>
      <c r="E146">
        <v>0</v>
      </c>
      <c r="F146" t="str">
        <f>HYPERLINK(".\links\cds\TI-254-cds.txt","TI-254")</f>
        <v>TI-254</v>
      </c>
      <c r="G146">
        <v>219</v>
      </c>
      <c r="H146"/>
      <c r="I146" t="s">
        <v>29</v>
      </c>
      <c r="J146" t="s">
        <v>6</v>
      </c>
      <c r="K146">
        <v>1</v>
      </c>
      <c r="L146">
        <v>0</v>
      </c>
      <c r="M146">
        <f t="shared" si="6"/>
        <v>1</v>
      </c>
      <c r="N146">
        <f t="shared" si="7"/>
        <v>1</v>
      </c>
      <c r="O146" t="s">
        <v>1304</v>
      </c>
      <c r="P146" t="s">
        <v>1172</v>
      </c>
      <c r="Q146" t="str">
        <f>HYPERLINK(".\links\NR-LIGHT\TI-254-NR-LIGHT.txt","NR-LIGHT")</f>
        <v>NR-LIGHT</v>
      </c>
      <c r="R146">
        <v>3E-11</v>
      </c>
      <c r="S146">
        <v>54.1</v>
      </c>
      <c r="T146" t="str">
        <f>HYPERLINK(".\links\NR-LIGHT\TI-254-NR-LIGHT.txt","hypothetical protein DAPPUDRAFT_52086")</f>
        <v>hypothetical protein DAPPUDRAFT_52086</v>
      </c>
      <c r="U146" t="str">
        <f>HYPERLINK("http://www.ncbi.nlm.nih.gov/sutils/blink.cgi?pid=321468906","3E-012")</f>
        <v>3E-012</v>
      </c>
      <c r="V146" t="str">
        <f>HYPERLINK("http://www.ncbi.nlm.nih.gov/protein/321468906","gi|321468906")</f>
        <v>gi|321468906</v>
      </c>
      <c r="W146">
        <v>72.8</v>
      </c>
      <c r="X146">
        <v>65</v>
      </c>
      <c r="Y146">
        <v>116</v>
      </c>
      <c r="Z146">
        <v>42</v>
      </c>
      <c r="AA146">
        <v>57</v>
      </c>
      <c r="AB146">
        <v>38</v>
      </c>
      <c r="AC146">
        <v>0</v>
      </c>
      <c r="AD146">
        <v>6</v>
      </c>
      <c r="AE146">
        <v>3</v>
      </c>
      <c r="AF146">
        <v>1</v>
      </c>
      <c r="AG146"/>
      <c r="AH146" t="s">
        <v>13</v>
      </c>
      <c r="AI146" t="s">
        <v>51</v>
      </c>
      <c r="AJ146" t="s">
        <v>270</v>
      </c>
      <c r="AK146" t="str">
        <f>HYPERLINK(".\links\SWISSP\TI-254-SWISSP.txt","Mitochondrial import inner membrane translocase subunit Tim9 B OS=Danio rerio")</f>
        <v>Mitochondrial import inner membrane translocase subunit Tim9 B OS=Danio rerio</v>
      </c>
      <c r="AL146" t="str">
        <f>HYPERLINK("http://www.uniprot.org/uniprot/Q568N4","4E-010")</f>
        <v>4E-010</v>
      </c>
      <c r="AM146" t="s">
        <v>174</v>
      </c>
      <c r="AN146">
        <v>63.5</v>
      </c>
      <c r="AO146">
        <v>62</v>
      </c>
      <c r="AP146">
        <v>202</v>
      </c>
      <c r="AQ146">
        <v>42</v>
      </c>
      <c r="AR146">
        <v>31</v>
      </c>
      <c r="AS146">
        <v>36</v>
      </c>
      <c r="AT146">
        <v>0</v>
      </c>
      <c r="AU146">
        <v>16</v>
      </c>
      <c r="AV146">
        <v>3</v>
      </c>
      <c r="AW146">
        <v>1</v>
      </c>
      <c r="AX146" t="s">
        <v>85</v>
      </c>
      <c r="AY146" t="str">
        <f>HYPERLINK(".\links\PREV-RHOD-PEP\TI-254-PREV-RHOD-PEP.txt","Contig17907_89")</f>
        <v>Contig17907_89</v>
      </c>
      <c r="AZ146" s="3">
        <v>9.0000000000000002E-35</v>
      </c>
      <c r="BA146" t="s">
        <v>1091</v>
      </c>
      <c r="BB146">
        <v>141</v>
      </c>
      <c r="BC146">
        <v>70</v>
      </c>
      <c r="BD146">
        <v>1097</v>
      </c>
      <c r="BE146">
        <v>90</v>
      </c>
      <c r="BF146">
        <v>6</v>
      </c>
      <c r="BG146">
        <v>7</v>
      </c>
      <c r="BH146">
        <v>0</v>
      </c>
      <c r="BI146">
        <v>13</v>
      </c>
      <c r="BJ146">
        <v>1</v>
      </c>
      <c r="BK146">
        <v>1</v>
      </c>
      <c r="BL146" t="s">
        <v>741</v>
      </c>
      <c r="BM146">
        <f>HYPERLINK(".\links\GO\TI-254-GO.txt",0.0000000002)</f>
        <v>2.0000000000000001E-10</v>
      </c>
      <c r="BN146" t="s">
        <v>742</v>
      </c>
      <c r="BO146" t="s">
        <v>319</v>
      </c>
      <c r="BP146" t="s">
        <v>422</v>
      </c>
      <c r="BQ146" t="s">
        <v>743</v>
      </c>
      <c r="BR146">
        <v>2.0000000000000001E-9</v>
      </c>
      <c r="BS146" t="s">
        <v>744</v>
      </c>
      <c r="BT146" t="s">
        <v>745</v>
      </c>
      <c r="BU146" t="s">
        <v>746</v>
      </c>
      <c r="BV146" t="s">
        <v>747</v>
      </c>
      <c r="BW146">
        <v>2.0000000000000001E-9</v>
      </c>
      <c r="BX146" t="s">
        <v>748</v>
      </c>
      <c r="BY146" t="s">
        <v>319</v>
      </c>
      <c r="BZ146" t="s">
        <v>422</v>
      </c>
      <c r="CA146" t="s">
        <v>749</v>
      </c>
      <c r="CB146">
        <v>2.0000000000000001E-9</v>
      </c>
      <c r="CC146" t="s">
        <v>8</v>
      </c>
      <c r="CD146"/>
      <c r="CE146"/>
      <c r="CF146" t="s">
        <v>8</v>
      </c>
      <c r="CG146"/>
      <c r="CH146"/>
      <c r="CI146" t="s">
        <v>8</v>
      </c>
      <c r="CJ146"/>
      <c r="CK146" t="s">
        <v>8</v>
      </c>
      <c r="CL146"/>
      <c r="CM146" t="s">
        <v>8</v>
      </c>
      <c r="CN146"/>
      <c r="CO146" t="s">
        <v>8</v>
      </c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 t="s">
        <v>8</v>
      </c>
      <c r="DD146"/>
      <c r="DE146"/>
      <c r="DF146"/>
      <c r="DG146"/>
      <c r="DH146"/>
      <c r="DI146"/>
      <c r="DJ146"/>
      <c r="DK146"/>
      <c r="DL146"/>
      <c r="DM146"/>
      <c r="DN146"/>
      <c r="DO146"/>
      <c r="DP146"/>
    </row>
    <row r="147" spans="1:120" s="6" customFormat="1">
      <c r="A147" t="str">
        <f>HYPERLINK(".\links\pep\TI-256-pep.txt","TI-256")</f>
        <v>TI-256</v>
      </c>
      <c r="B147">
        <v>256</v>
      </c>
      <c r="C147" t="s">
        <v>16</v>
      </c>
      <c r="D147">
        <v>236</v>
      </c>
      <c r="E147">
        <v>0</v>
      </c>
      <c r="F147" t="str">
        <f>HYPERLINK(".\links\cds\TI-256-cds.txt","TI-256")</f>
        <v>TI-256</v>
      </c>
      <c r="G147">
        <v>711</v>
      </c>
      <c r="H147"/>
      <c r="I147" t="s">
        <v>8</v>
      </c>
      <c r="J147" t="s">
        <v>6</v>
      </c>
      <c r="K147">
        <v>0</v>
      </c>
      <c r="L147">
        <v>1</v>
      </c>
      <c r="M147">
        <f t="shared" si="6"/>
        <v>-1</v>
      </c>
      <c r="N147">
        <f t="shared" si="7"/>
        <v>1</v>
      </c>
      <c r="O147" t="s">
        <v>1214</v>
      </c>
      <c r="P147" t="s">
        <v>1210</v>
      </c>
      <c r="Q147" t="str">
        <f>HYPERLINK(".\links\SWISSP\TI-256-SWISSP.txt","SWISSP")</f>
        <v>SWISSP</v>
      </c>
      <c r="R147" s="3">
        <v>2E-91</v>
      </c>
      <c r="S147">
        <v>62.3</v>
      </c>
      <c r="T147" t="str">
        <f>HYPERLINK(".\links\NR-LIGHT\TI-256-NR-LIGHT.txt","infestin 1-7 precursor")</f>
        <v>infestin 1-7 precursor</v>
      </c>
      <c r="U147" t="str">
        <f>HYPERLINK("http://www.ncbi.nlm.nih.gov/sutils/blink.cgi?pid=83637828","1E-125")</f>
        <v>1E-125</v>
      </c>
      <c r="V147" t="str">
        <f>HYPERLINK("http://www.ncbi.nlm.nih.gov/protein/83637828","gi|83637828")</f>
        <v>gi|83637828</v>
      </c>
      <c r="W147">
        <v>449</v>
      </c>
      <c r="X147">
        <v>398</v>
      </c>
      <c r="Y147">
        <v>409</v>
      </c>
      <c r="Z147">
        <v>96</v>
      </c>
      <c r="AA147">
        <v>98</v>
      </c>
      <c r="AB147">
        <v>9</v>
      </c>
      <c r="AC147">
        <v>0</v>
      </c>
      <c r="AD147">
        <v>11</v>
      </c>
      <c r="AE147">
        <v>9</v>
      </c>
      <c r="AF147">
        <v>5</v>
      </c>
      <c r="AG147"/>
      <c r="AH147" t="s">
        <v>13</v>
      </c>
      <c r="AI147" t="s">
        <v>51</v>
      </c>
      <c r="AJ147" t="s">
        <v>273</v>
      </c>
      <c r="AK147" t="str">
        <f>HYPERLINK(".\links\SWISSP\TI-256-SWISSP.txt","Serine protease inhibitor dipetalogastin (Fragment) OS=Dipetalogaster maximus")</f>
        <v>Serine protease inhibitor dipetalogastin (Fragment) OS=Dipetalogaster maximus</v>
      </c>
      <c r="AL147" t="str">
        <f>HYPERLINK("http://www.uniprot.org/uniprot/O96790","2E-091")</f>
        <v>2E-091</v>
      </c>
      <c r="AM147" t="s">
        <v>169</v>
      </c>
      <c r="AN147">
        <v>335</v>
      </c>
      <c r="AO147">
        <v>337</v>
      </c>
      <c r="AP147">
        <v>351</v>
      </c>
      <c r="AQ147">
        <v>73</v>
      </c>
      <c r="AR147">
        <v>96</v>
      </c>
      <c r="AS147">
        <v>58</v>
      </c>
      <c r="AT147">
        <v>0</v>
      </c>
      <c r="AU147">
        <v>12</v>
      </c>
      <c r="AV147">
        <v>2</v>
      </c>
      <c r="AW147">
        <v>7</v>
      </c>
      <c r="AX147" t="s">
        <v>170</v>
      </c>
      <c r="AY147" t="str">
        <f>HYPERLINK(".\links\PREV-RHOD-PEP\TI-256-PREV-RHOD-PEP.txt","Contig17791_8")</f>
        <v>Contig17791_8</v>
      </c>
      <c r="AZ147" s="3">
        <v>9.9999999999999995E-58</v>
      </c>
      <c r="BA147" t="s">
        <v>1084</v>
      </c>
      <c r="BB147">
        <v>219</v>
      </c>
      <c r="BC147">
        <v>254</v>
      </c>
      <c r="BD147">
        <v>348</v>
      </c>
      <c r="BE147">
        <v>51</v>
      </c>
      <c r="BF147">
        <v>73</v>
      </c>
      <c r="BG147">
        <v>119</v>
      </c>
      <c r="BH147">
        <v>27</v>
      </c>
      <c r="BI147">
        <v>18</v>
      </c>
      <c r="BJ147">
        <v>8</v>
      </c>
      <c r="BK147">
        <v>3</v>
      </c>
      <c r="BL147" t="s">
        <v>750</v>
      </c>
      <c r="BM147">
        <f>HYPERLINK(".\links\GO\TI-256-GO.txt",0.00000000000003)</f>
        <v>2.9999999999999998E-14</v>
      </c>
      <c r="BN147" t="s">
        <v>721</v>
      </c>
      <c r="BO147" t="s">
        <v>444</v>
      </c>
      <c r="BP147" t="s">
        <v>445</v>
      </c>
      <c r="BQ147" t="s">
        <v>722</v>
      </c>
      <c r="BR147">
        <v>2.9999999999999998E-14</v>
      </c>
      <c r="BS147" t="s">
        <v>751</v>
      </c>
      <c r="BT147" t="s">
        <v>501</v>
      </c>
      <c r="BU147" t="s">
        <v>752</v>
      </c>
      <c r="BV147" t="s">
        <v>753</v>
      </c>
      <c r="BW147">
        <v>2.9999999999999998E-14</v>
      </c>
      <c r="BX147" t="s">
        <v>754</v>
      </c>
      <c r="BY147" t="s">
        <v>444</v>
      </c>
      <c r="BZ147" t="s">
        <v>445</v>
      </c>
      <c r="CA147" t="s">
        <v>755</v>
      </c>
      <c r="CB147">
        <v>2.9999999999999998E-14</v>
      </c>
      <c r="CC147" t="s">
        <v>8</v>
      </c>
      <c r="CD147"/>
      <c r="CE147"/>
      <c r="CF147" t="s">
        <v>8</v>
      </c>
      <c r="CG147"/>
      <c r="CH147"/>
      <c r="CI147" t="s">
        <v>8</v>
      </c>
      <c r="CJ147"/>
      <c r="CK147" t="s">
        <v>8</v>
      </c>
      <c r="CL147"/>
      <c r="CM147" t="s">
        <v>8</v>
      </c>
      <c r="CN147"/>
      <c r="CO147" t="s">
        <v>8</v>
      </c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 t="s">
        <v>8</v>
      </c>
      <c r="DD147"/>
      <c r="DE147"/>
      <c r="DF147"/>
      <c r="DG147"/>
      <c r="DH147"/>
      <c r="DI147"/>
      <c r="DJ147"/>
      <c r="DK147"/>
      <c r="DL147"/>
      <c r="DM147"/>
      <c r="DN147"/>
      <c r="DO147"/>
      <c r="DP147"/>
    </row>
    <row r="148" spans="1:120" s="6" customFormat="1">
      <c r="A148" t="str">
        <f>HYPERLINK(".\links\pep\TI-259-pep.txt","TI-259")</f>
        <v>TI-259</v>
      </c>
      <c r="B148">
        <v>259</v>
      </c>
      <c r="C148" t="s">
        <v>7</v>
      </c>
      <c r="D148">
        <v>99</v>
      </c>
      <c r="E148">
        <v>0</v>
      </c>
      <c r="F148" t="str">
        <f>HYPERLINK(".\links\cds\TI-259-cds.txt","TI-259")</f>
        <v>TI-259</v>
      </c>
      <c r="G148">
        <v>300</v>
      </c>
      <c r="H148"/>
      <c r="I148" t="s">
        <v>29</v>
      </c>
      <c r="J148" t="s">
        <v>6</v>
      </c>
      <c r="K148">
        <v>0</v>
      </c>
      <c r="L148">
        <v>1</v>
      </c>
      <c r="M148">
        <f t="shared" si="6"/>
        <v>-1</v>
      </c>
      <c r="N148">
        <f t="shared" si="7"/>
        <v>1</v>
      </c>
      <c r="O148" t="s">
        <v>1215</v>
      </c>
      <c r="P148" t="s">
        <v>1178</v>
      </c>
      <c r="Q148" t="str">
        <f>HYPERLINK(".\links\NR-LIGHT\TI-259-NR-LIGHT.txt","NR-LIGHT")</f>
        <v>NR-LIGHT</v>
      </c>
      <c r="R148" s="3">
        <v>7.9999999999999996E-20</v>
      </c>
      <c r="S148">
        <v>75.599999999999994</v>
      </c>
      <c r="T148" t="str">
        <f>HYPERLINK(".\links\NR-LIGHT\TI-259-NR-LIGHT.txt","similar to RE17222p")</f>
        <v>similar to RE17222p</v>
      </c>
      <c r="U148" t="str">
        <f>HYPERLINK("http://www.ncbi.nlm.nih.gov/sutils/blink.cgi?pid=156543290","8E-020")</f>
        <v>8E-020</v>
      </c>
      <c r="V148" t="str">
        <f>HYPERLINK("http://www.ncbi.nlm.nih.gov/protein/156543290","gi|156543290")</f>
        <v>gi|156543290</v>
      </c>
      <c r="W148">
        <v>97.8</v>
      </c>
      <c r="X148">
        <v>86</v>
      </c>
      <c r="Y148">
        <v>115</v>
      </c>
      <c r="Z148">
        <v>48</v>
      </c>
      <c r="AA148">
        <v>76</v>
      </c>
      <c r="AB148">
        <v>45</v>
      </c>
      <c r="AC148">
        <v>0</v>
      </c>
      <c r="AD148">
        <v>1</v>
      </c>
      <c r="AE148">
        <v>1</v>
      </c>
      <c r="AF148">
        <v>1</v>
      </c>
      <c r="AG148"/>
      <c r="AH148" t="s">
        <v>13</v>
      </c>
      <c r="AI148" t="s">
        <v>51</v>
      </c>
      <c r="AJ148" t="s">
        <v>274</v>
      </c>
      <c r="AK148" t="s">
        <v>8</v>
      </c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 t="str">
        <f>HYPERLINK(".\links\PREV-RHOD-PEP\TI-259-PREV-RHOD-PEP.txt","Contig17872_112")</f>
        <v>Contig17872_112</v>
      </c>
      <c r="AZ148" s="3">
        <v>1.9999999999999999E-20</v>
      </c>
      <c r="BA148" t="s">
        <v>1092</v>
      </c>
      <c r="BB148">
        <v>94</v>
      </c>
      <c r="BC148">
        <v>44</v>
      </c>
      <c r="BD148">
        <v>46</v>
      </c>
      <c r="BE148">
        <v>97</v>
      </c>
      <c r="BF148">
        <v>98</v>
      </c>
      <c r="BG148">
        <v>1</v>
      </c>
      <c r="BH148">
        <v>0</v>
      </c>
      <c r="BI148">
        <v>1</v>
      </c>
      <c r="BJ148">
        <v>6</v>
      </c>
      <c r="BK148">
        <v>1</v>
      </c>
      <c r="BL148" t="s">
        <v>756</v>
      </c>
      <c r="BM148">
        <f>HYPERLINK(".\links\GO\TI-259-GO.txt",0.00002)</f>
        <v>2.0000000000000002E-5</v>
      </c>
      <c r="BN148" t="s">
        <v>757</v>
      </c>
      <c r="BO148" t="s">
        <v>340</v>
      </c>
      <c r="BP148" t="s">
        <v>468</v>
      </c>
      <c r="BQ148" t="s">
        <v>758</v>
      </c>
      <c r="BR148">
        <v>8.0000000000000002E-3</v>
      </c>
      <c r="BS148" t="s">
        <v>447</v>
      </c>
      <c r="BT148" t="s">
        <v>323</v>
      </c>
      <c r="BU148" t="s">
        <v>334</v>
      </c>
      <c r="BV148" t="s">
        <v>448</v>
      </c>
      <c r="BW148">
        <v>8.0000000000000002E-3</v>
      </c>
      <c r="BX148" t="s">
        <v>8</v>
      </c>
      <c r="BY148" t="s">
        <v>8</v>
      </c>
      <c r="BZ148" t="s">
        <v>8</v>
      </c>
      <c r="CA148" t="s">
        <v>8</v>
      </c>
      <c r="CB148" t="s">
        <v>8</v>
      </c>
      <c r="CC148" t="s">
        <v>8</v>
      </c>
      <c r="CD148"/>
      <c r="CE148"/>
      <c r="CF148" t="s">
        <v>8</v>
      </c>
      <c r="CG148"/>
      <c r="CH148"/>
      <c r="CI148" t="s">
        <v>8</v>
      </c>
      <c r="CJ148"/>
      <c r="CK148" t="s">
        <v>8</v>
      </c>
      <c r="CL148"/>
      <c r="CM148" t="s">
        <v>8</v>
      </c>
      <c r="CN148"/>
      <c r="CO148" t="s">
        <v>8</v>
      </c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 t="s">
        <v>8</v>
      </c>
      <c r="DD148"/>
      <c r="DE148"/>
      <c r="DF148"/>
      <c r="DG148"/>
      <c r="DH148"/>
      <c r="DI148"/>
      <c r="DJ148"/>
      <c r="DK148"/>
      <c r="DL148"/>
      <c r="DM148"/>
      <c r="DN148"/>
      <c r="DO148"/>
      <c r="DP148"/>
    </row>
    <row r="149" spans="1:120" s="6" customFormat="1">
      <c r="A149" s="6" t="str">
        <f>HYPERLINK(".\links\pep\TI-260-pep.txt","TI-260")</f>
        <v>TI-260</v>
      </c>
      <c r="B149" s="6">
        <v>260</v>
      </c>
      <c r="C149" s="6" t="s">
        <v>22</v>
      </c>
      <c r="D149" s="6">
        <v>57</v>
      </c>
      <c r="E149" s="7">
        <v>5.2631579999999998</v>
      </c>
      <c r="F149" s="6" t="str">
        <f>HYPERLINK(".\links\cds\TI-260-cds.txt","TI-260")</f>
        <v>TI-260</v>
      </c>
      <c r="G149" s="6">
        <v>170</v>
      </c>
      <c r="I149" s="6" t="s">
        <v>8</v>
      </c>
      <c r="J149" s="6" t="s">
        <v>6</v>
      </c>
      <c r="K149" s="6">
        <v>1</v>
      </c>
      <c r="L149" s="6">
        <v>0</v>
      </c>
      <c r="M149" s="6">
        <f t="shared" si="6"/>
        <v>1</v>
      </c>
      <c r="N149" s="6">
        <f t="shared" si="7"/>
        <v>1</v>
      </c>
      <c r="O149" s="6" t="s">
        <v>1170</v>
      </c>
      <c r="P149" s="6" t="s">
        <v>1171</v>
      </c>
      <c r="T149" s="6" t="str">
        <f>HYPERLINK(".\links\NR-LIGHT\TI-260-NR-LIGHT.txt","variola B22R gene family protein")</f>
        <v>variola B22R gene family protein</v>
      </c>
      <c r="U149" s="6" t="str">
        <f>HYPERLINK("http://www.ncbi.nlm.nih.gov/sutils/blink.cgi?pid=9634768","2.2")</f>
        <v>2.2</v>
      </c>
      <c r="V149" s="6" t="str">
        <f>HYPERLINK("http://www.ncbi.nlm.nih.gov/protein/9634768","gi|9634768")</f>
        <v>gi|9634768</v>
      </c>
      <c r="W149" s="6">
        <v>33.5</v>
      </c>
      <c r="X149" s="6">
        <v>29</v>
      </c>
      <c r="Y149" s="6">
        <v>1802</v>
      </c>
      <c r="Z149" s="6">
        <v>43</v>
      </c>
      <c r="AA149" s="6">
        <v>2</v>
      </c>
      <c r="AB149" s="6">
        <v>17</v>
      </c>
      <c r="AC149" s="6">
        <v>0</v>
      </c>
      <c r="AD149" s="6">
        <v>927</v>
      </c>
      <c r="AE149" s="6">
        <v>19</v>
      </c>
      <c r="AF149" s="6">
        <v>1</v>
      </c>
      <c r="AH149" s="6" t="s">
        <v>13</v>
      </c>
      <c r="AI149" s="6" t="s">
        <v>51</v>
      </c>
      <c r="AJ149" s="6" t="s">
        <v>276</v>
      </c>
      <c r="AK149" s="6" t="s">
        <v>8</v>
      </c>
      <c r="AY149" s="6" t="s">
        <v>8</v>
      </c>
      <c r="BL149" s="6" t="s">
        <v>8</v>
      </c>
      <c r="CC149" s="6" t="s">
        <v>8</v>
      </c>
      <c r="CF149" s="6" t="s">
        <v>8</v>
      </c>
      <c r="CI149" s="6" t="s">
        <v>8</v>
      </c>
      <c r="CK149" s="6" t="s">
        <v>8</v>
      </c>
      <c r="CM149" s="6" t="s">
        <v>8</v>
      </c>
      <c r="CO149" s="6" t="s">
        <v>8</v>
      </c>
      <c r="DC149" s="6" t="s">
        <v>8</v>
      </c>
    </row>
    <row r="150" spans="1:120" s="6" customFormat="1">
      <c r="A150" s="6" t="str">
        <f>HYPERLINK(".\links\pep\TI-261-pep.txt","TI-261")</f>
        <v>TI-261</v>
      </c>
      <c r="B150" s="6">
        <v>261</v>
      </c>
      <c r="C150" s="6" t="s">
        <v>11</v>
      </c>
      <c r="D150" s="6">
        <v>17</v>
      </c>
      <c r="E150" s="6">
        <v>0</v>
      </c>
      <c r="F150" s="6" t="str">
        <f>HYPERLINK(".\links\cds\TI-261-cds.txt","TI-261")</f>
        <v>TI-261</v>
      </c>
      <c r="G150" s="6">
        <v>54</v>
      </c>
      <c r="I150" s="6" t="s">
        <v>8</v>
      </c>
      <c r="J150" s="6" t="s">
        <v>6</v>
      </c>
      <c r="K150" s="6">
        <v>0</v>
      </c>
      <c r="L150" s="6">
        <v>4</v>
      </c>
      <c r="M150" s="6">
        <f t="shared" si="6"/>
        <v>-4</v>
      </c>
      <c r="N150" s="6">
        <f t="shared" si="7"/>
        <v>4</v>
      </c>
      <c r="O150" s="6" t="s">
        <v>1170</v>
      </c>
      <c r="P150" s="6" t="s">
        <v>1171</v>
      </c>
      <c r="T150" s="6" t="s">
        <v>8</v>
      </c>
      <c r="AK150" s="6" t="s">
        <v>8</v>
      </c>
      <c r="AY150" s="6" t="s">
        <v>8</v>
      </c>
      <c r="BL150" s="6" t="s">
        <v>8</v>
      </c>
      <c r="CC150" s="6" t="s">
        <v>8</v>
      </c>
      <c r="CF150" s="6" t="s">
        <v>8</v>
      </c>
      <c r="CI150" s="6" t="s">
        <v>8</v>
      </c>
      <c r="CK150" s="6" t="s">
        <v>8</v>
      </c>
      <c r="CM150" s="6" t="s">
        <v>8</v>
      </c>
      <c r="CO150" s="6" t="str">
        <f>HYPERLINK(".\links\MIT-PLA\TI-261-MIT-PLA.txt","TSA: Triatoma matogrossensis Tm-536 cytochrome c oxidase subunit I mRNA, partial")</f>
        <v>TSA: Triatoma matogrossensis Tm-536 cytochrome c oxidase subunit I mRNA, partial</v>
      </c>
      <c r="CP150" s="6" t="str">
        <f>HYPERLINK("http://www.ncbi.nlm.nih.gov/entrez/viewer.fcgi?db=nucleotide&amp;val=307095173","3E-007")</f>
        <v>3E-007</v>
      </c>
      <c r="CQ150" s="6" t="str">
        <f>HYPERLINK("http://www.ncbi.nlm.nih.gov/entrez/viewer.fcgi?db=nucleotide&amp;val=307095173","gi|307095173")</f>
        <v>gi|307095173</v>
      </c>
      <c r="CR150" s="6">
        <v>48.1</v>
      </c>
      <c r="CS150" s="6">
        <v>27</v>
      </c>
      <c r="CT150" s="6">
        <v>1068</v>
      </c>
      <c r="CU150" s="6">
        <v>96</v>
      </c>
      <c r="CV150" s="6">
        <v>3</v>
      </c>
      <c r="CW150" s="6">
        <v>1</v>
      </c>
      <c r="CX150" s="6">
        <v>0</v>
      </c>
      <c r="CY150" s="6">
        <v>13</v>
      </c>
      <c r="CZ150" s="6">
        <v>10</v>
      </c>
      <c r="DA150" s="6">
        <v>1</v>
      </c>
      <c r="DB150" s="6" t="s">
        <v>51</v>
      </c>
      <c r="DC150" s="6" t="s">
        <v>8</v>
      </c>
    </row>
    <row r="151" spans="1:120" s="6" customFormat="1">
      <c r="A151" s="6" t="str">
        <f>HYPERLINK(".\links\pep\TI-262-pep.txt","TI-262")</f>
        <v>TI-262</v>
      </c>
      <c r="B151" s="6">
        <v>262</v>
      </c>
      <c r="C151" s="6" t="s">
        <v>7</v>
      </c>
      <c r="D151" s="6">
        <v>167</v>
      </c>
      <c r="E151" s="6">
        <v>0</v>
      </c>
      <c r="F151" s="6" t="str">
        <f>HYPERLINK(".\links\cds\TI-262-cds.txt","TI-262")</f>
        <v>TI-262</v>
      </c>
      <c r="G151" s="6">
        <v>498</v>
      </c>
      <c r="I151" s="6" t="s">
        <v>29</v>
      </c>
      <c r="J151" s="6" t="s">
        <v>8</v>
      </c>
      <c r="K151" s="6">
        <v>3</v>
      </c>
      <c r="L151" s="6">
        <v>1</v>
      </c>
      <c r="M151" s="6">
        <f t="shared" si="6"/>
        <v>2</v>
      </c>
      <c r="N151" s="6">
        <f t="shared" si="7"/>
        <v>2</v>
      </c>
      <c r="O151" s="6" t="s">
        <v>1170</v>
      </c>
      <c r="P151" s="6" t="s">
        <v>1171</v>
      </c>
      <c r="T151" s="6" t="str">
        <f>HYPERLINK(".\links\NR-LIGHT\TI-262-NR-LIGHT.txt","hypothetical protein")</f>
        <v>hypothetical protein</v>
      </c>
      <c r="U151" s="6" t="str">
        <f>HYPERLINK("http://www.ncbi.nlm.nih.gov/sutils/blink.cgi?pid=256070610","0.16")</f>
        <v>0.16</v>
      </c>
      <c r="V151" s="6" t="str">
        <f>HYPERLINK("http://www.ncbi.nlm.nih.gov/protein/256070610","gi|256070610")</f>
        <v>gi|256070610</v>
      </c>
      <c r="W151" s="6">
        <v>37.4</v>
      </c>
      <c r="X151" s="6">
        <v>98</v>
      </c>
      <c r="Y151" s="6">
        <v>727</v>
      </c>
      <c r="Z151" s="6">
        <v>30</v>
      </c>
      <c r="AA151" s="6">
        <v>14</v>
      </c>
      <c r="AB151" s="6">
        <v>70</v>
      </c>
      <c r="AC151" s="6">
        <v>10</v>
      </c>
      <c r="AD151" s="6">
        <v>619</v>
      </c>
      <c r="AE151" s="6">
        <v>23</v>
      </c>
      <c r="AF151" s="6">
        <v>1</v>
      </c>
      <c r="AH151" s="6" t="s">
        <v>13</v>
      </c>
      <c r="AI151" s="6" t="s">
        <v>51</v>
      </c>
      <c r="AJ151" s="6" t="s">
        <v>265</v>
      </c>
      <c r="AK151" s="6" t="s">
        <v>8</v>
      </c>
      <c r="AY151" s="6" t="str">
        <f>HYPERLINK(".\links\PREV-RHOD-PEP\TI-262-PREV-RHOD-PEP.txt","Contig17963_38")</f>
        <v>Contig17963_38</v>
      </c>
      <c r="AZ151" s="8">
        <v>4E-52</v>
      </c>
      <c r="BA151" s="6" t="s">
        <v>1093</v>
      </c>
      <c r="BB151" s="6">
        <v>199</v>
      </c>
      <c r="BC151" s="6">
        <v>166</v>
      </c>
      <c r="BD151" s="6">
        <v>238</v>
      </c>
      <c r="BE151" s="6">
        <v>55</v>
      </c>
      <c r="BF151" s="6">
        <v>70</v>
      </c>
      <c r="BG151" s="6">
        <v>74</v>
      </c>
      <c r="BH151" s="6">
        <v>1</v>
      </c>
      <c r="BI151" s="6">
        <v>47</v>
      </c>
      <c r="BJ151" s="6">
        <v>1</v>
      </c>
      <c r="BK151" s="6">
        <v>1</v>
      </c>
      <c r="BL151" s="6" t="s">
        <v>8</v>
      </c>
      <c r="CC151" s="6" t="s">
        <v>8</v>
      </c>
      <c r="CF151" s="6" t="s">
        <v>8</v>
      </c>
      <c r="CI151" s="6" t="s">
        <v>8</v>
      </c>
      <c r="CK151" s="6" t="s">
        <v>8</v>
      </c>
      <c r="CM151" s="6" t="s">
        <v>8</v>
      </c>
      <c r="CO151" s="6" t="s">
        <v>8</v>
      </c>
      <c r="DC151" s="6" t="s">
        <v>8</v>
      </c>
    </row>
    <row r="152" spans="1:120" s="6" customFormat="1">
      <c r="A152" s="6" t="str">
        <f>HYPERLINK(".\links\pep\TI-263-pep.txt","TI-263")</f>
        <v>TI-263</v>
      </c>
      <c r="B152" s="6">
        <v>263</v>
      </c>
      <c r="C152" s="6" t="s">
        <v>20</v>
      </c>
      <c r="D152" s="6">
        <v>35</v>
      </c>
      <c r="E152" s="6">
        <v>0</v>
      </c>
      <c r="F152" s="6" t="str">
        <f>HYPERLINK(".\links\cds\TI-263-cds.txt","TI-263")</f>
        <v>TI-263</v>
      </c>
      <c r="G152" s="6">
        <v>108</v>
      </c>
      <c r="I152" s="6" t="s">
        <v>8</v>
      </c>
      <c r="J152" s="6" t="s">
        <v>6</v>
      </c>
      <c r="K152" s="6">
        <v>1</v>
      </c>
      <c r="L152" s="6">
        <v>1</v>
      </c>
      <c r="M152" s="6">
        <f t="shared" si="6"/>
        <v>0</v>
      </c>
      <c r="N152" s="6">
        <f t="shared" si="7"/>
        <v>0</v>
      </c>
      <c r="O152" s="6" t="s">
        <v>1170</v>
      </c>
      <c r="P152" s="6" t="s">
        <v>1171</v>
      </c>
      <c r="T152" s="6" t="s">
        <v>8</v>
      </c>
      <c r="AK152" s="6" t="s">
        <v>8</v>
      </c>
      <c r="AY152" s="6" t="s">
        <v>8</v>
      </c>
      <c r="BL152" s="6" t="s">
        <v>8</v>
      </c>
      <c r="CC152" s="6" t="s">
        <v>8</v>
      </c>
      <c r="CF152" s="6" t="s">
        <v>8</v>
      </c>
      <c r="CI152" s="6" t="s">
        <v>8</v>
      </c>
      <c r="CK152" s="6" t="s">
        <v>8</v>
      </c>
      <c r="CM152" s="6" t="s">
        <v>8</v>
      </c>
      <c r="CO152" s="6" t="s">
        <v>8</v>
      </c>
      <c r="DC152" s="6" t="s">
        <v>8</v>
      </c>
    </row>
    <row r="153" spans="1:120" s="6" customFormat="1">
      <c r="A153" s="6" t="str">
        <f>HYPERLINK(".\links\pep\TI-264-pep.txt","TI-264")</f>
        <v>TI-264</v>
      </c>
      <c r="B153" s="6">
        <v>264</v>
      </c>
      <c r="C153" s="6" t="s">
        <v>7</v>
      </c>
      <c r="D153" s="6">
        <v>161</v>
      </c>
      <c r="E153" s="6">
        <v>0</v>
      </c>
      <c r="F153" s="6" t="str">
        <f>HYPERLINK(".\links\cds\TI-264-cds.txt","TI-264")</f>
        <v>TI-264</v>
      </c>
      <c r="G153" s="6">
        <v>480</v>
      </c>
      <c r="I153" s="6" t="s">
        <v>29</v>
      </c>
      <c r="J153" s="6" t="s">
        <v>8</v>
      </c>
      <c r="K153" s="6">
        <v>1</v>
      </c>
      <c r="L153" s="6">
        <v>1</v>
      </c>
      <c r="M153" s="6">
        <f t="shared" si="6"/>
        <v>0</v>
      </c>
      <c r="N153" s="6">
        <f t="shared" si="7"/>
        <v>0</v>
      </c>
      <c r="O153" s="6" t="s">
        <v>1170</v>
      </c>
      <c r="P153" s="6" t="s">
        <v>1171</v>
      </c>
      <c r="T153" s="6" t="str">
        <f>HYPERLINK(".\links\NR-LIGHT\TI-264-NR-LIGHT.txt","conserved hypothetical protein")</f>
        <v>conserved hypothetical protein</v>
      </c>
      <c r="U153" s="6" t="str">
        <f>HYPERLINK("http://www.ncbi.nlm.nih.gov/sutils/blink.cgi?pid=170028035","3E-005")</f>
        <v>3E-005</v>
      </c>
      <c r="V153" s="6" t="str">
        <f>HYPERLINK("http://www.ncbi.nlm.nih.gov/protein/170028035","gi|170028035")</f>
        <v>gi|170028035</v>
      </c>
      <c r="W153" s="6">
        <v>50.1</v>
      </c>
      <c r="X153" s="6">
        <v>78</v>
      </c>
      <c r="Y153" s="6">
        <v>626</v>
      </c>
      <c r="Z153" s="6">
        <v>32</v>
      </c>
      <c r="AA153" s="6">
        <v>13</v>
      </c>
      <c r="AB153" s="6">
        <v>53</v>
      </c>
      <c r="AC153" s="6">
        <v>4</v>
      </c>
      <c r="AD153" s="6">
        <v>16</v>
      </c>
      <c r="AE153" s="6">
        <v>87</v>
      </c>
      <c r="AF153" s="6">
        <v>1</v>
      </c>
      <c r="AH153" s="6" t="s">
        <v>13</v>
      </c>
      <c r="AI153" s="6" t="s">
        <v>51</v>
      </c>
      <c r="AJ153" s="6" t="s">
        <v>263</v>
      </c>
      <c r="AK153" s="6" t="s">
        <v>8</v>
      </c>
      <c r="AY153" s="6" t="str">
        <f>HYPERLINK(".\links\PREV-RHOD-PEP\TI-264-PREV-RHOD-PEP.txt","Contig10370_3")</f>
        <v>Contig10370_3</v>
      </c>
      <c r="AZ153" s="8">
        <v>8.9999999999999995E-51</v>
      </c>
      <c r="BA153" s="6" t="s">
        <v>1094</v>
      </c>
      <c r="BB153" s="6">
        <v>195</v>
      </c>
      <c r="BC153" s="6">
        <v>127</v>
      </c>
      <c r="BD153" s="6">
        <v>672</v>
      </c>
      <c r="BE153" s="6">
        <v>71</v>
      </c>
      <c r="BF153" s="6">
        <v>19</v>
      </c>
      <c r="BG153" s="6">
        <v>36</v>
      </c>
      <c r="BH153" s="6">
        <v>0</v>
      </c>
      <c r="BI153" s="6">
        <v>3</v>
      </c>
      <c r="BJ153" s="6">
        <v>18</v>
      </c>
      <c r="BK153" s="6">
        <v>1</v>
      </c>
      <c r="BL153" s="6" t="s">
        <v>8</v>
      </c>
      <c r="CC153" s="6" t="s">
        <v>8</v>
      </c>
      <c r="CF153" s="6" t="s">
        <v>8</v>
      </c>
      <c r="CI153" s="6" t="s">
        <v>8</v>
      </c>
      <c r="CK153" s="6" t="s">
        <v>8</v>
      </c>
      <c r="CM153" s="6" t="s">
        <v>8</v>
      </c>
      <c r="CO153" s="6" t="s">
        <v>8</v>
      </c>
      <c r="DC153" s="6" t="s">
        <v>8</v>
      </c>
    </row>
    <row r="154" spans="1:120" s="6" customFormat="1">
      <c r="A154" t="str">
        <f>HYPERLINK(".\links\pep\TI-265-pep.txt","TI-265")</f>
        <v>TI-265</v>
      </c>
      <c r="B154">
        <v>265</v>
      </c>
      <c r="C154" t="s">
        <v>15</v>
      </c>
      <c r="D154">
        <v>206</v>
      </c>
      <c r="E154">
        <v>0</v>
      </c>
      <c r="F154" t="str">
        <f>HYPERLINK(".\links\cds\TI-265-cds.txt","TI-265")</f>
        <v>TI-265</v>
      </c>
      <c r="G154">
        <v>621</v>
      </c>
      <c r="H154"/>
      <c r="I154" t="s">
        <v>8</v>
      </c>
      <c r="J154" t="s">
        <v>6</v>
      </c>
      <c r="K154">
        <v>1</v>
      </c>
      <c r="L154">
        <v>12</v>
      </c>
      <c r="M154">
        <f t="shared" si="6"/>
        <v>-11</v>
      </c>
      <c r="N154">
        <f t="shared" si="7"/>
        <v>11</v>
      </c>
      <c r="O154" t="s">
        <v>1305</v>
      </c>
      <c r="P154" t="s">
        <v>1178</v>
      </c>
      <c r="Q154" t="str">
        <f>HYPERLINK(".\links\NR-LIGHT\TI-265-NR-LIGHT.txt","NR-LIGHT")</f>
        <v>NR-LIGHT</v>
      </c>
      <c r="R154" s="3">
        <v>1.0000000000000001E-31</v>
      </c>
      <c r="S154">
        <v>44.3</v>
      </c>
      <c r="T154" t="str">
        <f>HYPERLINK(".\links\NR-LIGHT\TI-265-NR-LIGHT.txt","predicted RNA-binding protein")</f>
        <v>predicted RNA-binding protein</v>
      </c>
      <c r="U154" t="str">
        <f>HYPERLINK("http://www.ncbi.nlm.nih.gov/sutils/blink.cgi?pid=149898790","1E-031")</f>
        <v>1E-031</v>
      </c>
      <c r="V154" t="str">
        <f>HYPERLINK("http://www.ncbi.nlm.nih.gov/protein/149898790","gi|149898790")</f>
        <v>gi|149898790</v>
      </c>
      <c r="W154">
        <v>138</v>
      </c>
      <c r="X154">
        <v>132</v>
      </c>
      <c r="Y154">
        <v>300</v>
      </c>
      <c r="Z154">
        <v>57</v>
      </c>
      <c r="AA154">
        <v>44</v>
      </c>
      <c r="AB154">
        <v>56</v>
      </c>
      <c r="AC154">
        <v>0</v>
      </c>
      <c r="AD154">
        <v>140</v>
      </c>
      <c r="AE154">
        <v>1</v>
      </c>
      <c r="AF154">
        <v>1</v>
      </c>
      <c r="AG154"/>
      <c r="AH154" t="s">
        <v>13</v>
      </c>
      <c r="AI154" t="s">
        <v>51</v>
      </c>
      <c r="AJ154" t="s">
        <v>273</v>
      </c>
      <c r="AK154" t="s">
        <v>8</v>
      </c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 t="str">
        <f>HYPERLINK(".\links\PREV-RHOD-PEP\TI-265-PREV-RHOD-PEP.txt","Contig18051_98")</f>
        <v>Contig18051_98</v>
      </c>
      <c r="AZ154" s="3">
        <v>3.0000000000000002E-36</v>
      </c>
      <c r="BA154" t="s">
        <v>1095</v>
      </c>
      <c r="BB154">
        <v>147</v>
      </c>
      <c r="BC154">
        <v>203</v>
      </c>
      <c r="BD154">
        <v>343</v>
      </c>
      <c r="BE154">
        <v>46</v>
      </c>
      <c r="BF154">
        <v>59</v>
      </c>
      <c r="BG154">
        <v>110</v>
      </c>
      <c r="BH154">
        <v>2</v>
      </c>
      <c r="BI154">
        <v>140</v>
      </c>
      <c r="BJ154">
        <v>1</v>
      </c>
      <c r="BK154">
        <v>1</v>
      </c>
      <c r="BL154" t="s">
        <v>8</v>
      </c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 t="s">
        <v>8</v>
      </c>
      <c r="CD154"/>
      <c r="CE154"/>
      <c r="CF154" t="s">
        <v>8</v>
      </c>
      <c r="CG154"/>
      <c r="CH154"/>
      <c r="CI154" t="s">
        <v>8</v>
      </c>
      <c r="CJ154"/>
      <c r="CK154" t="s">
        <v>8</v>
      </c>
      <c r="CL154"/>
      <c r="CM154" t="s">
        <v>8</v>
      </c>
      <c r="CN154"/>
      <c r="CO154" t="s">
        <v>8</v>
      </c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 t="s">
        <v>8</v>
      </c>
      <c r="DD154"/>
      <c r="DE154"/>
      <c r="DF154"/>
      <c r="DG154"/>
      <c r="DH154"/>
      <c r="DI154"/>
      <c r="DJ154"/>
      <c r="DK154"/>
      <c r="DL154"/>
      <c r="DM154"/>
      <c r="DN154"/>
      <c r="DO154"/>
      <c r="DP154"/>
    </row>
    <row r="155" spans="1:120" s="6" customFormat="1">
      <c r="A155" s="6" t="str">
        <f>HYPERLINK(".\links\pep\TI-267-pep.txt","TI-267")</f>
        <v>TI-267</v>
      </c>
      <c r="B155" s="6">
        <v>267</v>
      </c>
      <c r="C155" s="6" t="s">
        <v>22</v>
      </c>
      <c r="D155" s="6">
        <v>51</v>
      </c>
      <c r="E155" s="6">
        <v>0</v>
      </c>
      <c r="F155" s="6" t="str">
        <f>HYPERLINK(".\links\cds\TI-267-cds.txt","TI-267")</f>
        <v>TI-267</v>
      </c>
      <c r="G155" s="6">
        <v>156</v>
      </c>
      <c r="I155" s="6" t="s">
        <v>8</v>
      </c>
      <c r="J155" s="6" t="s">
        <v>6</v>
      </c>
      <c r="K155" s="6">
        <v>1</v>
      </c>
      <c r="L155" s="6">
        <v>0</v>
      </c>
      <c r="M155" s="6">
        <f t="shared" si="6"/>
        <v>1</v>
      </c>
      <c r="N155" s="6">
        <f t="shared" si="7"/>
        <v>1</v>
      </c>
      <c r="O155" s="6" t="s">
        <v>1170</v>
      </c>
      <c r="P155" s="6" t="s">
        <v>1171</v>
      </c>
      <c r="T155" s="6" t="s">
        <v>8</v>
      </c>
      <c r="AK155" s="6" t="s">
        <v>8</v>
      </c>
      <c r="AY155" s="6" t="s">
        <v>8</v>
      </c>
      <c r="BL155" s="6" t="s">
        <v>8</v>
      </c>
      <c r="CC155" s="6" t="s">
        <v>8</v>
      </c>
      <c r="CF155" s="6" t="s">
        <v>8</v>
      </c>
      <c r="CI155" s="6" t="s">
        <v>8</v>
      </c>
      <c r="CK155" s="6" t="s">
        <v>8</v>
      </c>
      <c r="CM155" s="6" t="s">
        <v>8</v>
      </c>
      <c r="CO155" s="6" t="s">
        <v>8</v>
      </c>
      <c r="DC155" s="6" t="s">
        <v>8</v>
      </c>
    </row>
    <row r="156" spans="1:120" s="6" customFormat="1">
      <c r="A156" t="str">
        <f>HYPERLINK(".\links\pep\TI-268-pep.txt","TI-268")</f>
        <v>TI-268</v>
      </c>
      <c r="B156">
        <v>268</v>
      </c>
      <c r="C156" t="s">
        <v>7</v>
      </c>
      <c r="D156">
        <v>131</v>
      </c>
      <c r="E156">
        <v>0</v>
      </c>
      <c r="F156" t="str">
        <f>HYPERLINK(".\links\cds\TI-268-cds.txt","TI-268")</f>
        <v>TI-268</v>
      </c>
      <c r="G156">
        <v>391</v>
      </c>
      <c r="H156"/>
      <c r="I156" t="s">
        <v>29</v>
      </c>
      <c r="J156" t="s">
        <v>8</v>
      </c>
      <c r="K156">
        <v>1</v>
      </c>
      <c r="L156">
        <v>0</v>
      </c>
      <c r="M156">
        <f t="shared" si="6"/>
        <v>1</v>
      </c>
      <c r="N156">
        <f t="shared" si="7"/>
        <v>1</v>
      </c>
      <c r="O156" t="s">
        <v>1216</v>
      </c>
      <c r="P156" t="s">
        <v>1203</v>
      </c>
      <c r="Q156" t="str">
        <f>HYPERLINK(".\links\NR-LIGHT\TI-268-NR-LIGHT.txt","NR-LIGHT")</f>
        <v>NR-LIGHT</v>
      </c>
      <c r="R156" s="3">
        <v>3.9999999999999997E-34</v>
      </c>
      <c r="S156">
        <v>37</v>
      </c>
      <c r="T156" t="str">
        <f>HYPERLINK(".\links\NR-LIGHT\TI-268-NR-LIGHT.txt","truncated histone H1")</f>
        <v>truncated histone H1</v>
      </c>
      <c r="U156" t="str">
        <f>HYPERLINK("http://www.ncbi.nlm.nih.gov/sutils/blink.cgi?pid=149689210","4E-034")</f>
        <v>4E-034</v>
      </c>
      <c r="V156" t="str">
        <f>HYPERLINK("http://www.ncbi.nlm.nih.gov/protein/149689210","gi|149689210")</f>
        <v>gi|149689210</v>
      </c>
      <c r="W156">
        <v>145</v>
      </c>
      <c r="X156">
        <v>72</v>
      </c>
      <c r="Y156">
        <v>197</v>
      </c>
      <c r="Z156">
        <v>94</v>
      </c>
      <c r="AA156">
        <v>37</v>
      </c>
      <c r="AB156">
        <v>4</v>
      </c>
      <c r="AC156">
        <v>0</v>
      </c>
      <c r="AD156">
        <v>39</v>
      </c>
      <c r="AE156">
        <v>40</v>
      </c>
      <c r="AF156">
        <v>1</v>
      </c>
      <c r="AG156"/>
      <c r="AH156" t="s">
        <v>13</v>
      </c>
      <c r="AI156" t="s">
        <v>51</v>
      </c>
      <c r="AJ156" t="s">
        <v>273</v>
      </c>
      <c r="AK156" t="str">
        <f>HYPERLINK(".\links\SWISSP\TI-268-SWISSP.txt","Histone H1 OS=Drosophila melanogaster GN=His1 PE=1 SV=1")</f>
        <v>Histone H1 OS=Drosophila melanogaster GN=His1 PE=1 SV=1</v>
      </c>
      <c r="AL156" t="str">
        <f>HYPERLINK("http://www.uniprot.org/uniprot/P02255","1E-025")</f>
        <v>1E-025</v>
      </c>
      <c r="AM156" t="s">
        <v>163</v>
      </c>
      <c r="AN156">
        <v>114</v>
      </c>
      <c r="AO156">
        <v>72</v>
      </c>
      <c r="AP156">
        <v>256</v>
      </c>
      <c r="AQ156">
        <v>67</v>
      </c>
      <c r="AR156">
        <v>29</v>
      </c>
      <c r="AS156">
        <v>24</v>
      </c>
      <c r="AT156">
        <v>0</v>
      </c>
      <c r="AU156">
        <v>45</v>
      </c>
      <c r="AV156">
        <v>40</v>
      </c>
      <c r="AW156">
        <v>1</v>
      </c>
      <c r="AX156" t="s">
        <v>52</v>
      </c>
      <c r="AY156" t="str">
        <f>HYPERLINK(".\links\PREV-RHOD-PEP\TI-268-PREV-RHOD-PEP.txt","Contig18070_21")</f>
        <v>Contig18070_21</v>
      </c>
      <c r="AZ156" s="3">
        <v>9.9999999999999993E-35</v>
      </c>
      <c r="BA156" t="s">
        <v>1081</v>
      </c>
      <c r="BB156">
        <v>141</v>
      </c>
      <c r="BC156">
        <v>111</v>
      </c>
      <c r="BD156">
        <v>208</v>
      </c>
      <c r="BE156">
        <v>65</v>
      </c>
      <c r="BF156">
        <v>54</v>
      </c>
      <c r="BG156">
        <v>39</v>
      </c>
      <c r="BH156">
        <v>0</v>
      </c>
      <c r="BI156">
        <v>1</v>
      </c>
      <c r="BJ156">
        <v>1</v>
      </c>
      <c r="BK156">
        <v>1</v>
      </c>
      <c r="BL156" t="s">
        <v>759</v>
      </c>
      <c r="BM156">
        <f>HYPERLINK(".\links\GO\TI-268-GO.txt",3E-26)</f>
        <v>3.0000000000000001E-26</v>
      </c>
      <c r="BN156" t="s">
        <v>467</v>
      </c>
      <c r="BO156" t="s">
        <v>340</v>
      </c>
      <c r="BP156" t="s">
        <v>468</v>
      </c>
      <c r="BQ156" t="s">
        <v>469</v>
      </c>
      <c r="BR156" s="3">
        <v>3.0000000000000001E-26</v>
      </c>
      <c r="BS156" t="s">
        <v>447</v>
      </c>
      <c r="BT156" t="s">
        <v>323</v>
      </c>
      <c r="BU156" t="s">
        <v>334</v>
      </c>
      <c r="BV156" t="s">
        <v>448</v>
      </c>
      <c r="BW156" s="3">
        <v>3.0000000000000001E-26</v>
      </c>
      <c r="BX156" t="s">
        <v>710</v>
      </c>
      <c r="BY156" t="s">
        <v>340</v>
      </c>
      <c r="BZ156" t="s">
        <v>468</v>
      </c>
      <c r="CA156" t="s">
        <v>711</v>
      </c>
      <c r="CB156" s="3">
        <v>3.0000000000000001E-26</v>
      </c>
      <c r="CC156" t="s">
        <v>8</v>
      </c>
      <c r="CD156"/>
      <c r="CE156"/>
      <c r="CF156" t="s">
        <v>8</v>
      </c>
      <c r="CG156"/>
      <c r="CH156"/>
      <c r="CI156" t="s">
        <v>8</v>
      </c>
      <c r="CJ156"/>
      <c r="CK156" t="s">
        <v>8</v>
      </c>
      <c r="CL156"/>
      <c r="CM156" t="s">
        <v>8</v>
      </c>
      <c r="CN156"/>
      <c r="CO156" t="s">
        <v>8</v>
      </c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 t="s">
        <v>8</v>
      </c>
      <c r="DD156"/>
      <c r="DE156"/>
      <c r="DF156"/>
      <c r="DG156"/>
      <c r="DH156"/>
      <c r="DI156"/>
      <c r="DJ156"/>
      <c r="DK156"/>
      <c r="DL156"/>
      <c r="DM156"/>
      <c r="DN156"/>
      <c r="DO156"/>
      <c r="DP156"/>
    </row>
    <row r="157" spans="1:120" s="6" customFormat="1">
      <c r="A157" t="str">
        <f>HYPERLINK(".\links\pep\TI-271-pep.txt","TI-271")</f>
        <v>TI-271</v>
      </c>
      <c r="B157">
        <v>271</v>
      </c>
      <c r="C157" t="s">
        <v>7</v>
      </c>
      <c r="D157">
        <v>139</v>
      </c>
      <c r="E157">
        <v>0</v>
      </c>
      <c r="F157" t="str">
        <f>HYPERLINK(".\links\cds\TI-271-cds.txt","TI-271")</f>
        <v>TI-271</v>
      </c>
      <c r="G157">
        <v>415</v>
      </c>
      <c r="H157"/>
      <c r="I157" t="s">
        <v>29</v>
      </c>
      <c r="J157" t="s">
        <v>8</v>
      </c>
      <c r="K157">
        <v>1</v>
      </c>
      <c r="L157">
        <v>0</v>
      </c>
      <c r="M157">
        <f t="shared" si="6"/>
        <v>1</v>
      </c>
      <c r="N157">
        <f t="shared" si="7"/>
        <v>1</v>
      </c>
      <c r="O157" t="s">
        <v>1217</v>
      </c>
      <c r="P157" t="s">
        <v>1169</v>
      </c>
      <c r="Q157" t="str">
        <f>HYPERLINK(".\links\SWISSP\TI-271-SWISSP.txt","SWISSP")</f>
        <v>SWISSP</v>
      </c>
      <c r="R157" s="3">
        <v>7.9999999999999997E-72</v>
      </c>
      <c r="S157">
        <v>53.2</v>
      </c>
      <c r="T157" t="str">
        <f>HYPERLINK(".\links\NR-LIGHT\TI-271-NR-LIGHT.txt","similar to ribosomal protein S4e")</f>
        <v>similar to ribosomal protein S4e</v>
      </c>
      <c r="U157" t="str">
        <f>HYPERLINK("http://www.ncbi.nlm.nih.gov/sutils/blink.cgi?pid=91083095","2E-071")</f>
        <v>2E-071</v>
      </c>
      <c r="V157" t="str">
        <f>HYPERLINK("http://www.ncbi.nlm.nih.gov/protein/91083095","gi|91083095")</f>
        <v>gi|91083095</v>
      </c>
      <c r="W157">
        <v>269</v>
      </c>
      <c r="X157">
        <v>138</v>
      </c>
      <c r="Y157">
        <v>261</v>
      </c>
      <c r="Z157">
        <v>91</v>
      </c>
      <c r="AA157">
        <v>53</v>
      </c>
      <c r="AB157">
        <v>12</v>
      </c>
      <c r="AC157">
        <v>0</v>
      </c>
      <c r="AD157">
        <v>1</v>
      </c>
      <c r="AE157">
        <v>1</v>
      </c>
      <c r="AF157">
        <v>1</v>
      </c>
      <c r="AG157"/>
      <c r="AH157" t="s">
        <v>13</v>
      </c>
      <c r="AI157" t="s">
        <v>51</v>
      </c>
      <c r="AJ157" t="s">
        <v>266</v>
      </c>
      <c r="AK157" t="str">
        <f>HYPERLINK(".\links\SWISSP\TI-271-SWISSP.txt","40S ribosomal protein S4 OS=Carabus granulatus GN=RpS4 PE=2 SV=1")</f>
        <v>40S ribosomal protein S4 OS=Carabus granulatus GN=RpS4 PE=2 SV=1</v>
      </c>
      <c r="AL157" t="str">
        <f>HYPERLINK("http://www.uniprot.org/uniprot/Q4GXU6","8E-072")</f>
        <v>8E-072</v>
      </c>
      <c r="AM157" t="s">
        <v>175</v>
      </c>
      <c r="AN157">
        <v>268</v>
      </c>
      <c r="AO157">
        <v>138</v>
      </c>
      <c r="AP157">
        <v>261</v>
      </c>
      <c r="AQ157">
        <v>90</v>
      </c>
      <c r="AR157">
        <v>53</v>
      </c>
      <c r="AS157">
        <v>13</v>
      </c>
      <c r="AT157">
        <v>0</v>
      </c>
      <c r="AU157">
        <v>1</v>
      </c>
      <c r="AV157">
        <v>1</v>
      </c>
      <c r="AW157">
        <v>1</v>
      </c>
      <c r="AX157" t="s">
        <v>176</v>
      </c>
      <c r="AY157" t="str">
        <f>HYPERLINK(".\links\PREV-RHOD-PEP\TI-271-PREV-RHOD-PEP.txt","Contig17729_72")</f>
        <v>Contig17729_72</v>
      </c>
      <c r="AZ157" s="3">
        <v>9.0000000000000001E-78</v>
      </c>
      <c r="BA157" t="s">
        <v>1096</v>
      </c>
      <c r="BB157">
        <v>284</v>
      </c>
      <c r="BC157">
        <v>137</v>
      </c>
      <c r="BD157">
        <v>299</v>
      </c>
      <c r="BE157">
        <v>98</v>
      </c>
      <c r="BF157">
        <v>46</v>
      </c>
      <c r="BG157">
        <v>2</v>
      </c>
      <c r="BH157">
        <v>0</v>
      </c>
      <c r="BI157">
        <v>16</v>
      </c>
      <c r="BJ157">
        <v>2</v>
      </c>
      <c r="BK157">
        <v>1</v>
      </c>
      <c r="BL157" t="s">
        <v>760</v>
      </c>
      <c r="BM157">
        <f>HYPERLINK(".\links\GO\TI-271-GO.txt",1E-66)</f>
        <v>9.9999999999999998E-67</v>
      </c>
      <c r="BN157" t="s">
        <v>329</v>
      </c>
      <c r="BO157" t="s">
        <v>330</v>
      </c>
      <c r="BP157" t="s">
        <v>331</v>
      </c>
      <c r="BQ157" t="s">
        <v>332</v>
      </c>
      <c r="BR157" s="3">
        <v>9.9999999999999998E-67</v>
      </c>
      <c r="BS157" t="s">
        <v>739</v>
      </c>
      <c r="BT157" t="s">
        <v>323</v>
      </c>
      <c r="BU157" t="s">
        <v>334</v>
      </c>
      <c r="BV157" t="s">
        <v>740</v>
      </c>
      <c r="BW157" s="3">
        <v>9.9999999999999998E-67</v>
      </c>
      <c r="BX157" t="s">
        <v>336</v>
      </c>
      <c r="BY157" t="s">
        <v>330</v>
      </c>
      <c r="BZ157" t="s">
        <v>331</v>
      </c>
      <c r="CA157" t="s">
        <v>337</v>
      </c>
      <c r="CB157" s="3">
        <v>9.9999999999999998E-67</v>
      </c>
      <c r="CC157" t="s">
        <v>8</v>
      </c>
      <c r="CD157"/>
      <c r="CE157"/>
      <c r="CF157" t="s">
        <v>8</v>
      </c>
      <c r="CG157"/>
      <c r="CH157"/>
      <c r="CI157" t="s">
        <v>8</v>
      </c>
      <c r="CJ157"/>
      <c r="CK157" t="s">
        <v>8</v>
      </c>
      <c r="CL157"/>
      <c r="CM157" t="s">
        <v>8</v>
      </c>
      <c r="CN157"/>
      <c r="CO157" t="s">
        <v>8</v>
      </c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 t="s">
        <v>8</v>
      </c>
      <c r="DD157"/>
      <c r="DE157"/>
      <c r="DF157"/>
      <c r="DG157"/>
      <c r="DH157"/>
      <c r="DI157"/>
      <c r="DJ157"/>
      <c r="DK157"/>
      <c r="DL157"/>
      <c r="DM157"/>
      <c r="DN157"/>
      <c r="DO157"/>
      <c r="DP157"/>
    </row>
    <row r="158" spans="1:120" s="6" customFormat="1">
      <c r="A158" s="6" t="str">
        <f>HYPERLINK(".\links\pep\TI-272-pep.txt","TI-272")</f>
        <v>TI-272</v>
      </c>
      <c r="B158" s="6">
        <v>272</v>
      </c>
      <c r="C158" s="6" t="s">
        <v>12</v>
      </c>
      <c r="D158" s="6">
        <v>151</v>
      </c>
      <c r="E158" s="6">
        <v>0</v>
      </c>
      <c r="F158" s="6" t="str">
        <f>HYPERLINK(".\links\cds\TI-272-cds.txt","TI-272")</f>
        <v>TI-272</v>
      </c>
      <c r="G158" s="6">
        <v>456</v>
      </c>
      <c r="I158" s="6" t="s">
        <v>8</v>
      </c>
      <c r="J158" s="6" t="s">
        <v>6</v>
      </c>
      <c r="K158" s="6">
        <v>0</v>
      </c>
      <c r="L158" s="6">
        <v>2</v>
      </c>
      <c r="M158" s="6">
        <f t="shared" si="6"/>
        <v>-2</v>
      </c>
      <c r="N158" s="6">
        <f t="shared" si="7"/>
        <v>2</v>
      </c>
      <c r="O158" s="6" t="s">
        <v>1170</v>
      </c>
      <c r="P158" s="6" t="s">
        <v>1171</v>
      </c>
      <c r="T158" s="6" t="str">
        <f>HYPERLINK(".\links\NR-LIGHT\TI-272-NR-LIGHT.txt","hypothetical protein")</f>
        <v>hypothetical protein</v>
      </c>
      <c r="U158" s="6" t="str">
        <f>HYPERLINK("http://www.ncbi.nlm.nih.gov/sutils/blink.cgi?pid=72082777","5.4")</f>
        <v>5.4</v>
      </c>
      <c r="V158" s="6" t="str">
        <f>HYPERLINK("http://www.ncbi.nlm.nih.gov/protein/72082777","gi|72082777")</f>
        <v>gi|72082777</v>
      </c>
      <c r="W158" s="6">
        <v>32</v>
      </c>
      <c r="X158" s="6">
        <v>47</v>
      </c>
      <c r="Y158" s="6">
        <v>290</v>
      </c>
      <c r="Z158" s="6">
        <v>30</v>
      </c>
      <c r="AA158" s="6">
        <v>17</v>
      </c>
      <c r="AB158" s="6">
        <v>34</v>
      </c>
      <c r="AC158" s="6">
        <v>4</v>
      </c>
      <c r="AD158" s="6">
        <v>205</v>
      </c>
      <c r="AE158" s="6">
        <v>94</v>
      </c>
      <c r="AF158" s="6">
        <v>1</v>
      </c>
      <c r="AH158" s="6" t="s">
        <v>13</v>
      </c>
      <c r="AI158" s="6" t="s">
        <v>51</v>
      </c>
      <c r="AJ158" s="6" t="s">
        <v>288</v>
      </c>
      <c r="AK158" s="6" t="s">
        <v>8</v>
      </c>
      <c r="AY158" s="6" t="s">
        <v>8</v>
      </c>
      <c r="BL158" s="6" t="s">
        <v>8</v>
      </c>
      <c r="CC158" s="6" t="s">
        <v>8</v>
      </c>
      <c r="CF158" s="6" t="s">
        <v>8</v>
      </c>
      <c r="CI158" s="6" t="s">
        <v>8</v>
      </c>
      <c r="CK158" s="6" t="s">
        <v>8</v>
      </c>
      <c r="CM158" s="6" t="s">
        <v>8</v>
      </c>
      <c r="CO158" s="6" t="s">
        <v>8</v>
      </c>
      <c r="DC158" s="6" t="s">
        <v>8</v>
      </c>
    </row>
    <row r="159" spans="1:120" s="6" customFormat="1">
      <c r="A159" s="6" t="str">
        <f>HYPERLINK(".\links\pep\TI-276-pep.txt","TI-276")</f>
        <v>TI-276</v>
      </c>
      <c r="B159" s="6">
        <v>276</v>
      </c>
      <c r="C159" s="6" t="s">
        <v>26</v>
      </c>
      <c r="D159" s="6">
        <v>15</v>
      </c>
      <c r="E159" s="6">
        <v>0</v>
      </c>
      <c r="F159" s="6" t="str">
        <f>HYPERLINK(".\links\cds\TI-276-cds.txt","TI-276")</f>
        <v>TI-276</v>
      </c>
      <c r="G159" s="6">
        <v>48</v>
      </c>
      <c r="I159" s="6" t="s">
        <v>8</v>
      </c>
      <c r="J159" s="6" t="s">
        <v>6</v>
      </c>
      <c r="K159" s="6">
        <v>0</v>
      </c>
      <c r="L159" s="6">
        <v>5</v>
      </c>
      <c r="M159" s="6">
        <f t="shared" ref="M159:M178" si="8">K159-L159</f>
        <v>-5</v>
      </c>
      <c r="N159" s="6">
        <f t="shared" ref="N159:N178" si="9">ABS(K159-L159)</f>
        <v>5</v>
      </c>
      <c r="O159" s="6" t="s">
        <v>1170</v>
      </c>
      <c r="P159" s="6" t="s">
        <v>1171</v>
      </c>
      <c r="T159" s="6" t="s">
        <v>8</v>
      </c>
      <c r="AK159" s="6" t="s">
        <v>8</v>
      </c>
      <c r="AY159" s="6" t="s">
        <v>8</v>
      </c>
      <c r="BL159" s="6" t="s">
        <v>8</v>
      </c>
      <c r="CC159" s="6" t="s">
        <v>8</v>
      </c>
      <c r="CF159" s="6" t="s">
        <v>8</v>
      </c>
      <c r="CI159" s="6" t="s">
        <v>8</v>
      </c>
      <c r="CK159" s="6" t="s">
        <v>8</v>
      </c>
      <c r="CM159" s="6" t="s">
        <v>8</v>
      </c>
      <c r="CO159" s="6" t="s">
        <v>8</v>
      </c>
      <c r="DC159" s="6" t="s">
        <v>8</v>
      </c>
    </row>
    <row r="160" spans="1:120" s="6" customFormat="1">
      <c r="A160" s="6" t="str">
        <f>HYPERLINK(".\links\pep\TI-277-pep.txt","TI-277")</f>
        <v>TI-277</v>
      </c>
      <c r="B160" s="6">
        <v>277</v>
      </c>
      <c r="C160" s="6" t="s">
        <v>9</v>
      </c>
      <c r="D160" s="6">
        <v>61</v>
      </c>
      <c r="E160" s="6">
        <v>0</v>
      </c>
      <c r="F160" s="6" t="str">
        <f>HYPERLINK(".\links\cds\TI-277-cds.txt","TI-277")</f>
        <v>TI-277</v>
      </c>
      <c r="G160" s="6">
        <v>186</v>
      </c>
      <c r="I160" s="6" t="s">
        <v>8</v>
      </c>
      <c r="J160" s="6" t="s">
        <v>6</v>
      </c>
      <c r="K160" s="6">
        <v>1</v>
      </c>
      <c r="L160" s="6">
        <v>0</v>
      </c>
      <c r="M160" s="6">
        <f t="shared" si="8"/>
        <v>1</v>
      </c>
      <c r="N160" s="6">
        <f t="shared" si="9"/>
        <v>1</v>
      </c>
      <c r="O160" s="6" t="s">
        <v>1170</v>
      </c>
      <c r="P160" s="6" t="s">
        <v>1171</v>
      </c>
      <c r="T160" s="6" t="s">
        <v>8</v>
      </c>
      <c r="AK160" s="6" t="s">
        <v>8</v>
      </c>
      <c r="AY160" s="6" t="s">
        <v>8</v>
      </c>
      <c r="BL160" s="6" t="s">
        <v>8</v>
      </c>
      <c r="CC160" s="6" t="s">
        <v>8</v>
      </c>
      <c r="CF160" s="6" t="s">
        <v>8</v>
      </c>
      <c r="CI160" s="6" t="s">
        <v>8</v>
      </c>
      <c r="CK160" s="6" t="s">
        <v>8</v>
      </c>
      <c r="CM160" s="6" t="s">
        <v>8</v>
      </c>
      <c r="CO160" s="6" t="s">
        <v>8</v>
      </c>
      <c r="DC160" s="6" t="s">
        <v>8</v>
      </c>
    </row>
    <row r="161" spans="1:120" s="6" customFormat="1">
      <c r="A161" t="str">
        <f>HYPERLINK(".\links\pep\TI-278-pep.txt","TI-278")</f>
        <v>TI-278</v>
      </c>
      <c r="B161">
        <v>278</v>
      </c>
      <c r="C161" t="s">
        <v>18</v>
      </c>
      <c r="D161">
        <v>188</v>
      </c>
      <c r="E161">
        <v>0</v>
      </c>
      <c r="F161" t="str">
        <f>HYPERLINK(".\links\cds\TI-278-cds.txt","TI-278")</f>
        <v>TI-278</v>
      </c>
      <c r="G161">
        <v>562</v>
      </c>
      <c r="H161"/>
      <c r="I161" t="s">
        <v>8</v>
      </c>
      <c r="J161" t="s">
        <v>8</v>
      </c>
      <c r="K161">
        <v>1</v>
      </c>
      <c r="L161">
        <v>0</v>
      </c>
      <c r="M161">
        <f t="shared" si="8"/>
        <v>1</v>
      </c>
      <c r="N161">
        <f t="shared" si="9"/>
        <v>1</v>
      </c>
      <c r="O161" t="s">
        <v>1306</v>
      </c>
      <c r="P161" t="s">
        <v>1176</v>
      </c>
      <c r="Q161" t="str">
        <f>HYPERLINK(".\links\NR-LIGHT\TI-278-NR-LIGHT.txt","NR-LIGHT")</f>
        <v>NR-LIGHT</v>
      </c>
      <c r="R161" s="3">
        <v>1E-35</v>
      </c>
      <c r="S161">
        <v>8.9</v>
      </c>
      <c r="T161" t="str">
        <f>HYPERLINK(".\links\NR-LIGHT\TI-278-NR-LIGHT.txt","UDP-glucose:glycoprotein glucosyltransferase")</f>
        <v>UDP-glucose:glycoprotein glucosyltransferase</v>
      </c>
      <c r="U161" t="str">
        <f>HYPERLINK("http://www.ncbi.nlm.nih.gov/sutils/blink.cgi?pid=328786702","1E-035")</f>
        <v>1E-035</v>
      </c>
      <c r="V161" t="str">
        <f>HYPERLINK("http://www.ncbi.nlm.nih.gov/protein/328786702","gi|328786702")</f>
        <v>gi|328786702</v>
      </c>
      <c r="W161">
        <v>150</v>
      </c>
      <c r="X161">
        <v>173</v>
      </c>
      <c r="Y161">
        <v>1975</v>
      </c>
      <c r="Z161">
        <v>45</v>
      </c>
      <c r="AA161">
        <v>9</v>
      </c>
      <c r="AB161">
        <v>96</v>
      </c>
      <c r="AC161">
        <v>11</v>
      </c>
      <c r="AD161">
        <v>93</v>
      </c>
      <c r="AE161">
        <v>3</v>
      </c>
      <c r="AF161">
        <v>1</v>
      </c>
      <c r="AG161"/>
      <c r="AH161" t="s">
        <v>13</v>
      </c>
      <c r="AI161" t="s">
        <v>51</v>
      </c>
      <c r="AJ161" t="s">
        <v>83</v>
      </c>
      <c r="AK161" t="str">
        <f>HYPERLINK(".\links\SWISSP\TI-278-SWISSP.txt","UDP-glucose:glycoprotein glucosyltransferase 2 OS=Homo sapiens GN=UGGT2 PE=1")</f>
        <v>UDP-glucose:glycoprotein glucosyltransferase 2 OS=Homo sapiens GN=UGGT2 PE=1</v>
      </c>
      <c r="AL161" t="str">
        <f>HYPERLINK("http://www.uniprot.org/uniprot/Q9NYU1","1E-024")</f>
        <v>1E-024</v>
      </c>
      <c r="AM161" t="s">
        <v>177</v>
      </c>
      <c r="AN161">
        <v>112</v>
      </c>
      <c r="AO161">
        <v>171</v>
      </c>
      <c r="AP161">
        <v>1516</v>
      </c>
      <c r="AQ161">
        <v>38</v>
      </c>
      <c r="AR161">
        <v>11</v>
      </c>
      <c r="AS161">
        <v>106</v>
      </c>
      <c r="AT161">
        <v>4</v>
      </c>
      <c r="AU161">
        <v>102</v>
      </c>
      <c r="AV161">
        <v>4</v>
      </c>
      <c r="AW161">
        <v>1</v>
      </c>
      <c r="AX161" t="s">
        <v>68</v>
      </c>
      <c r="AY161" t="str">
        <f>HYPERLINK(".\links\PREV-RHOD-PEP\TI-278-PREV-RHOD-PEP.txt","Contig17896_56")</f>
        <v>Contig17896_56</v>
      </c>
      <c r="AZ161" s="3">
        <v>3.0000000000000002E-76</v>
      </c>
      <c r="BA161" t="s">
        <v>1097</v>
      </c>
      <c r="BB161">
        <v>280</v>
      </c>
      <c r="BC161">
        <v>170</v>
      </c>
      <c r="BD161">
        <v>1560</v>
      </c>
      <c r="BE161">
        <v>84</v>
      </c>
      <c r="BF161">
        <v>11</v>
      </c>
      <c r="BG161">
        <v>26</v>
      </c>
      <c r="BH161">
        <v>0</v>
      </c>
      <c r="BI161">
        <v>92</v>
      </c>
      <c r="BJ161">
        <v>1</v>
      </c>
      <c r="BK161">
        <v>1</v>
      </c>
      <c r="BL161" t="s">
        <v>761</v>
      </c>
      <c r="BM161">
        <f>HYPERLINK(".\links\GO\TI-278-GO.txt",9E-27)</f>
        <v>9.0000000000000003E-27</v>
      </c>
      <c r="BN161" t="s">
        <v>762</v>
      </c>
      <c r="BO161" t="s">
        <v>345</v>
      </c>
      <c r="BP161" t="s">
        <v>346</v>
      </c>
      <c r="BQ161" t="s">
        <v>763</v>
      </c>
      <c r="BR161" s="3">
        <v>3.9999999999999998E-23</v>
      </c>
      <c r="BS161" t="s">
        <v>764</v>
      </c>
      <c r="BT161" t="s">
        <v>323</v>
      </c>
      <c r="BU161" t="s">
        <v>334</v>
      </c>
      <c r="BV161" t="s">
        <v>765</v>
      </c>
      <c r="BW161" s="3">
        <v>3.9999999999999998E-23</v>
      </c>
      <c r="BX161" t="s">
        <v>766</v>
      </c>
      <c r="BY161" t="s">
        <v>345</v>
      </c>
      <c r="BZ161" t="s">
        <v>346</v>
      </c>
      <c r="CA161" t="s">
        <v>767</v>
      </c>
      <c r="CB161" s="3">
        <v>3.9999999999999998E-23</v>
      </c>
      <c r="CC161" t="s">
        <v>8</v>
      </c>
      <c r="CD161"/>
      <c r="CE161"/>
      <c r="CF161" t="s">
        <v>8</v>
      </c>
      <c r="CG161"/>
      <c r="CH161"/>
      <c r="CI161" t="s">
        <v>8</v>
      </c>
      <c r="CJ161"/>
      <c r="CK161" t="s">
        <v>8</v>
      </c>
      <c r="CL161"/>
      <c r="CM161" t="s">
        <v>8</v>
      </c>
      <c r="CN161"/>
      <c r="CO161" t="s">
        <v>8</v>
      </c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 t="s">
        <v>8</v>
      </c>
      <c r="DD161"/>
      <c r="DE161"/>
      <c r="DF161"/>
      <c r="DG161"/>
      <c r="DH161"/>
      <c r="DI161"/>
      <c r="DJ161"/>
      <c r="DK161"/>
      <c r="DL161"/>
      <c r="DM161"/>
      <c r="DN161"/>
      <c r="DO161"/>
      <c r="DP161"/>
    </row>
    <row r="162" spans="1:120" s="6" customFormat="1">
      <c r="A162" s="6" t="str">
        <f>HYPERLINK(".\links\pep\TI-279-pep.txt","TI-279")</f>
        <v>TI-279</v>
      </c>
      <c r="B162" s="6">
        <v>279</v>
      </c>
      <c r="C162" s="6" t="s">
        <v>9</v>
      </c>
      <c r="D162" s="6">
        <v>17</v>
      </c>
      <c r="E162" s="6">
        <v>0</v>
      </c>
      <c r="F162" s="6" t="str">
        <f>HYPERLINK(".\links\cds\TI-279-cds.txt","TI-279")</f>
        <v>TI-279</v>
      </c>
      <c r="G162" s="6">
        <v>54</v>
      </c>
      <c r="I162" s="6" t="s">
        <v>8</v>
      </c>
      <c r="J162" s="6" t="s">
        <v>6</v>
      </c>
      <c r="K162" s="6">
        <v>1</v>
      </c>
      <c r="L162" s="6">
        <v>0</v>
      </c>
      <c r="M162" s="6">
        <f t="shared" si="8"/>
        <v>1</v>
      </c>
      <c r="N162" s="6">
        <f t="shared" si="9"/>
        <v>1</v>
      </c>
      <c r="O162" s="6" t="s">
        <v>1170</v>
      </c>
      <c r="P162" s="6" t="s">
        <v>1171</v>
      </c>
      <c r="T162" s="6" t="s">
        <v>8</v>
      </c>
      <c r="AK162" s="6" t="s">
        <v>8</v>
      </c>
      <c r="AY162" s="6" t="s">
        <v>8</v>
      </c>
      <c r="BL162" s="6" t="s">
        <v>8</v>
      </c>
      <c r="CC162" s="6" t="s">
        <v>8</v>
      </c>
      <c r="CF162" s="6" t="s">
        <v>8</v>
      </c>
      <c r="CI162" s="6" t="s">
        <v>8</v>
      </c>
      <c r="CK162" s="6" t="s">
        <v>8</v>
      </c>
      <c r="CM162" s="6" t="s">
        <v>8</v>
      </c>
      <c r="CO162" s="6" t="s">
        <v>8</v>
      </c>
      <c r="DC162" s="6" t="s">
        <v>8</v>
      </c>
    </row>
    <row r="163" spans="1:120" s="6" customFormat="1">
      <c r="A163" s="6" t="str">
        <f>HYPERLINK(".\links\pep\TI-283-pep.txt","TI-283")</f>
        <v>TI-283</v>
      </c>
      <c r="B163" s="6">
        <v>283</v>
      </c>
      <c r="C163" s="6" t="s">
        <v>17</v>
      </c>
      <c r="D163" s="6">
        <v>232</v>
      </c>
      <c r="E163" s="6">
        <v>0</v>
      </c>
      <c r="F163" s="6" t="str">
        <f>HYPERLINK(".\links\cds\TI-283-cds.txt","TI-283")</f>
        <v>TI-283</v>
      </c>
      <c r="G163" s="6">
        <v>699</v>
      </c>
      <c r="I163" s="6" t="s">
        <v>8</v>
      </c>
      <c r="J163" s="6" t="s">
        <v>6</v>
      </c>
      <c r="K163" s="6">
        <v>0</v>
      </c>
      <c r="L163" s="6">
        <v>3</v>
      </c>
      <c r="M163" s="6">
        <f t="shared" si="8"/>
        <v>-3</v>
      </c>
      <c r="N163" s="6">
        <f t="shared" si="9"/>
        <v>3</v>
      </c>
      <c r="O163" s="6" t="s">
        <v>1170</v>
      </c>
      <c r="P163" s="6" t="s">
        <v>1171</v>
      </c>
      <c r="T163" s="6" t="str">
        <f>HYPERLINK(".\links\NR-LIGHT\TI-283-NR-LIGHT.txt","DNA primase")</f>
        <v>DNA primase</v>
      </c>
      <c r="U163" s="6" t="str">
        <f>HYPERLINK("http://www.ncbi.nlm.nih.gov/sutils/blink.cgi?pid=322376486","0.49")</f>
        <v>0.49</v>
      </c>
      <c r="V163" s="6" t="str">
        <f>HYPERLINK("http://www.ncbi.nlm.nih.gov/protein/322376486","gi|322376486")</f>
        <v>gi|322376486</v>
      </c>
      <c r="W163" s="6">
        <v>37</v>
      </c>
      <c r="X163" s="6">
        <v>76</v>
      </c>
      <c r="Y163" s="6">
        <v>567</v>
      </c>
      <c r="Z163" s="6">
        <v>28</v>
      </c>
      <c r="AA163" s="6">
        <v>14</v>
      </c>
      <c r="AB163" s="6">
        <v>55</v>
      </c>
      <c r="AC163" s="6">
        <v>1</v>
      </c>
      <c r="AD163" s="6">
        <v>160</v>
      </c>
      <c r="AE163" s="6">
        <v>99</v>
      </c>
      <c r="AF163" s="6">
        <v>1</v>
      </c>
      <c r="AH163" s="6" t="s">
        <v>13</v>
      </c>
      <c r="AI163" s="6" t="s">
        <v>51</v>
      </c>
      <c r="AJ163" s="6" t="s">
        <v>289</v>
      </c>
      <c r="AK163" s="6" t="s">
        <v>8</v>
      </c>
      <c r="AY163" s="6" t="s">
        <v>8</v>
      </c>
      <c r="BL163" s="6" t="s">
        <v>8</v>
      </c>
      <c r="CC163" s="6" t="s">
        <v>8</v>
      </c>
      <c r="CF163" s="6" t="s">
        <v>8</v>
      </c>
      <c r="CI163" s="6" t="s">
        <v>8</v>
      </c>
      <c r="CK163" s="6" t="s">
        <v>8</v>
      </c>
      <c r="CM163" s="6" t="s">
        <v>8</v>
      </c>
      <c r="CO163" s="6" t="s">
        <v>8</v>
      </c>
      <c r="DC163" s="6" t="s">
        <v>8</v>
      </c>
    </row>
    <row r="164" spans="1:120" s="6" customFormat="1">
      <c r="A164" s="6" t="str">
        <f>HYPERLINK(".\links\pep\TI-284-pep.txt","TI-284")</f>
        <v>TI-284</v>
      </c>
      <c r="B164" s="6">
        <v>284</v>
      </c>
      <c r="C164" s="6" t="s">
        <v>11</v>
      </c>
      <c r="D164" s="6">
        <v>85</v>
      </c>
      <c r="E164" s="6">
        <v>0</v>
      </c>
      <c r="F164" s="6" t="str">
        <f>HYPERLINK(".\links\cds\TI-284-cds.txt","TI-284")</f>
        <v>TI-284</v>
      </c>
      <c r="G164" s="6">
        <v>258</v>
      </c>
      <c r="I164" s="6" t="s">
        <v>8</v>
      </c>
      <c r="J164" s="6" t="s">
        <v>6</v>
      </c>
      <c r="K164" s="6">
        <v>1</v>
      </c>
      <c r="L164" s="6">
        <v>0</v>
      </c>
      <c r="M164" s="6">
        <f t="shared" si="8"/>
        <v>1</v>
      </c>
      <c r="N164" s="6">
        <f t="shared" si="9"/>
        <v>1</v>
      </c>
      <c r="O164" s="6" t="s">
        <v>1170</v>
      </c>
      <c r="P164" s="6" t="s">
        <v>1171</v>
      </c>
      <c r="T164" s="6" t="str">
        <f>HYPERLINK(".\links\NR-LIGHT\TI-284-NR-LIGHT.txt","E3 ubiquitin-protein ligase RNF14")</f>
        <v>E3 ubiquitin-protein ligase RNF14</v>
      </c>
      <c r="U164" s="6" t="str">
        <f>HYPERLINK("http://www.ncbi.nlm.nih.gov/sutils/blink.cgi?pid=125630705","4.0")</f>
        <v>4.0</v>
      </c>
      <c r="V164" s="6" t="str">
        <f>HYPERLINK("http://www.ncbi.nlm.nih.gov/protein/125630705","gi|125630705")</f>
        <v>gi|125630705</v>
      </c>
      <c r="W164" s="6">
        <v>32.299999999999997</v>
      </c>
      <c r="X164" s="6">
        <v>38</v>
      </c>
      <c r="Y164" s="6">
        <v>474</v>
      </c>
      <c r="Z164" s="6">
        <v>33</v>
      </c>
      <c r="AA164" s="6">
        <v>8</v>
      </c>
      <c r="AB164" s="6">
        <v>26</v>
      </c>
      <c r="AC164" s="6">
        <v>0</v>
      </c>
      <c r="AD164" s="6">
        <v>120</v>
      </c>
      <c r="AE164" s="6">
        <v>33</v>
      </c>
      <c r="AF164" s="6">
        <v>1</v>
      </c>
      <c r="AH164" s="6" t="s">
        <v>13</v>
      </c>
      <c r="AI164" s="6" t="s">
        <v>51</v>
      </c>
      <c r="AJ164" s="6" t="s">
        <v>64</v>
      </c>
      <c r="AK164" s="6" t="s">
        <v>8</v>
      </c>
      <c r="AY164" s="6" t="s">
        <v>8</v>
      </c>
      <c r="BL164" s="6" t="s">
        <v>8</v>
      </c>
      <c r="CC164" s="6" t="s">
        <v>8</v>
      </c>
      <c r="CF164" s="6" t="s">
        <v>8</v>
      </c>
      <c r="CI164" s="6" t="s">
        <v>8</v>
      </c>
      <c r="CK164" s="6" t="s">
        <v>8</v>
      </c>
      <c r="CM164" s="6" t="s">
        <v>8</v>
      </c>
      <c r="CO164" s="6" t="s">
        <v>8</v>
      </c>
      <c r="DC164" s="6" t="s">
        <v>8</v>
      </c>
    </row>
    <row r="165" spans="1:120" s="6" customFormat="1">
      <c r="A165" s="6" t="str">
        <f>HYPERLINK(".\links\pep\TI-287-pep.txt","TI-287")</f>
        <v>TI-287</v>
      </c>
      <c r="B165" s="6">
        <v>287</v>
      </c>
      <c r="C165" s="6" t="s">
        <v>10</v>
      </c>
      <c r="D165" s="6">
        <v>48</v>
      </c>
      <c r="E165" s="6">
        <v>0</v>
      </c>
      <c r="F165" s="6" t="str">
        <f>HYPERLINK(".\links\cds\TI-287-cds.txt","TI-287")</f>
        <v>TI-287</v>
      </c>
      <c r="G165" s="6">
        <v>147</v>
      </c>
      <c r="I165" s="6" t="s">
        <v>8</v>
      </c>
      <c r="J165" s="6" t="s">
        <v>6</v>
      </c>
      <c r="K165" s="6">
        <v>0</v>
      </c>
      <c r="L165" s="6">
        <v>2</v>
      </c>
      <c r="M165" s="6">
        <f t="shared" si="8"/>
        <v>-2</v>
      </c>
      <c r="N165" s="6">
        <f t="shared" si="9"/>
        <v>2</v>
      </c>
      <c r="O165" s="6" t="s">
        <v>1170</v>
      </c>
      <c r="P165" s="6" t="s">
        <v>1171</v>
      </c>
      <c r="T165" s="6" t="s">
        <v>8</v>
      </c>
      <c r="AK165" s="6" t="s">
        <v>8</v>
      </c>
      <c r="AY165" s="6" t="s">
        <v>8</v>
      </c>
      <c r="BL165" s="6" t="s">
        <v>8</v>
      </c>
      <c r="CC165" s="6" t="s">
        <v>8</v>
      </c>
      <c r="CF165" s="6" t="s">
        <v>8</v>
      </c>
      <c r="CI165" s="6" t="s">
        <v>8</v>
      </c>
      <c r="CK165" s="6" t="s">
        <v>8</v>
      </c>
      <c r="CM165" s="6" t="s">
        <v>8</v>
      </c>
      <c r="CO165" s="6" t="s">
        <v>8</v>
      </c>
      <c r="DC165" s="6" t="s">
        <v>8</v>
      </c>
    </row>
    <row r="166" spans="1:120" s="6" customFormat="1">
      <c r="A166" s="6" t="str">
        <f>HYPERLINK(".\links\pep\TI-288-pep.txt","TI-288")</f>
        <v>TI-288</v>
      </c>
      <c r="B166" s="6">
        <v>288</v>
      </c>
      <c r="C166" s="6" t="s">
        <v>19</v>
      </c>
      <c r="D166" s="6">
        <v>210</v>
      </c>
      <c r="E166" s="6">
        <v>0</v>
      </c>
      <c r="F166" s="6" t="str">
        <f>HYPERLINK(".\links\cds\TI-288-cds.txt","TI-288")</f>
        <v>TI-288</v>
      </c>
      <c r="G166" s="6">
        <v>633</v>
      </c>
      <c r="I166" s="6" t="s">
        <v>8</v>
      </c>
      <c r="J166" s="6" t="s">
        <v>6</v>
      </c>
      <c r="K166" s="6">
        <v>1</v>
      </c>
      <c r="L166" s="6">
        <v>1</v>
      </c>
      <c r="M166" s="6">
        <f t="shared" si="8"/>
        <v>0</v>
      </c>
      <c r="N166" s="6">
        <f t="shared" si="9"/>
        <v>0</v>
      </c>
      <c r="O166" s="6" t="s">
        <v>1170</v>
      </c>
      <c r="P166" s="6" t="s">
        <v>1171</v>
      </c>
      <c r="T166" s="6" t="str">
        <f>HYPERLINK(".\links\NR-LIGHT\TI-288-NR-LIGHT.txt","hypothetical protein C41A3.1")</f>
        <v>hypothetical protein C41A3.1</v>
      </c>
      <c r="U166" s="6" t="str">
        <f>HYPERLINK("http://www.ncbi.nlm.nih.gov/sutils/blink.cgi?pid=17550940","0.43")</f>
        <v>0.43</v>
      </c>
      <c r="V166" s="6" t="str">
        <f>HYPERLINK("http://www.ncbi.nlm.nih.gov/protein/17550940","gi|17550940")</f>
        <v>gi|17550940</v>
      </c>
      <c r="W166" s="6">
        <v>37</v>
      </c>
      <c r="X166" s="6">
        <v>78</v>
      </c>
      <c r="Y166" s="6">
        <v>7829</v>
      </c>
      <c r="Z166" s="6">
        <v>31</v>
      </c>
      <c r="AA166" s="6">
        <v>1</v>
      </c>
      <c r="AB166" s="6">
        <v>56</v>
      </c>
      <c r="AC166" s="6">
        <v>4</v>
      </c>
      <c r="AD166" s="6">
        <v>4592</v>
      </c>
      <c r="AE166" s="6">
        <v>83</v>
      </c>
      <c r="AF166" s="6">
        <v>1</v>
      </c>
      <c r="AH166" s="6" t="s">
        <v>13</v>
      </c>
      <c r="AI166" s="6" t="s">
        <v>51</v>
      </c>
      <c r="AJ166" s="6" t="s">
        <v>290</v>
      </c>
      <c r="AK166" s="6" t="s">
        <v>8</v>
      </c>
      <c r="AY166" s="6" t="str">
        <f>HYPERLINK(".\links\PREV-RHOD-PEP\TI-288-PREV-RHOD-PEP.txt","Contig7471_2")</f>
        <v>Contig7471_2</v>
      </c>
      <c r="AZ166" s="8">
        <v>1E-50</v>
      </c>
      <c r="BA166" s="6" t="s">
        <v>1069</v>
      </c>
      <c r="BB166" s="6">
        <v>195</v>
      </c>
      <c r="BC166" s="6">
        <v>186</v>
      </c>
      <c r="BD166" s="6">
        <v>410</v>
      </c>
      <c r="BE166" s="6">
        <v>51</v>
      </c>
      <c r="BF166" s="6">
        <v>46</v>
      </c>
      <c r="BG166" s="6">
        <v>91</v>
      </c>
      <c r="BH166" s="6">
        <v>0</v>
      </c>
      <c r="BI166" s="6">
        <v>143</v>
      </c>
      <c r="BJ166" s="6">
        <v>12</v>
      </c>
      <c r="BK166" s="6">
        <v>1</v>
      </c>
      <c r="BL166" s="6" t="s">
        <v>8</v>
      </c>
      <c r="CC166" s="6" t="s">
        <v>8</v>
      </c>
      <c r="CF166" s="6" t="s">
        <v>8</v>
      </c>
      <c r="CI166" s="6" t="s">
        <v>8</v>
      </c>
      <c r="CK166" s="6" t="s">
        <v>8</v>
      </c>
      <c r="CM166" s="6" t="s">
        <v>8</v>
      </c>
      <c r="CO166" s="6" t="s">
        <v>8</v>
      </c>
      <c r="DC166" s="6" t="s">
        <v>8</v>
      </c>
    </row>
    <row r="167" spans="1:120" s="6" customFormat="1">
      <c r="A167" s="6" t="str">
        <f>HYPERLINK(".\links\pep\TI-289-pep.txt","TI-289")</f>
        <v>TI-289</v>
      </c>
      <c r="B167" s="6">
        <v>289</v>
      </c>
      <c r="C167" s="6" t="s">
        <v>22</v>
      </c>
      <c r="D167" s="6">
        <v>43</v>
      </c>
      <c r="E167" s="6">
        <v>0</v>
      </c>
      <c r="F167" s="6" t="str">
        <f>HYPERLINK(".\links\cds\TI-289-cds.txt","TI-289")</f>
        <v>TI-289</v>
      </c>
      <c r="G167" s="6">
        <v>132</v>
      </c>
      <c r="I167" s="6" t="s">
        <v>8</v>
      </c>
      <c r="J167" s="6" t="s">
        <v>6</v>
      </c>
      <c r="K167" s="6">
        <v>1</v>
      </c>
      <c r="L167" s="6">
        <v>5</v>
      </c>
      <c r="M167" s="6">
        <f t="shared" si="8"/>
        <v>-4</v>
      </c>
      <c r="N167" s="6">
        <f t="shared" si="9"/>
        <v>4</v>
      </c>
      <c r="O167" s="6" t="s">
        <v>1170</v>
      </c>
      <c r="P167" s="6" t="s">
        <v>1171</v>
      </c>
      <c r="T167" s="6" t="s">
        <v>8</v>
      </c>
      <c r="AK167" s="6" t="s">
        <v>8</v>
      </c>
      <c r="AY167" s="6" t="s">
        <v>8</v>
      </c>
      <c r="BL167" s="6" t="s">
        <v>8</v>
      </c>
      <c r="CC167" s="6" t="s">
        <v>8</v>
      </c>
      <c r="CF167" s="6" t="s">
        <v>8</v>
      </c>
      <c r="CI167" s="6" t="s">
        <v>8</v>
      </c>
      <c r="CK167" s="6" t="s">
        <v>8</v>
      </c>
      <c r="CM167" s="6" t="s">
        <v>8</v>
      </c>
      <c r="CO167" s="6" t="s">
        <v>8</v>
      </c>
      <c r="DC167" s="6" t="s">
        <v>8</v>
      </c>
    </row>
    <row r="168" spans="1:120" s="6" customFormat="1">
      <c r="A168" t="str">
        <f>HYPERLINK(".\links\pep\TI-290-pep.txt","TI-290")</f>
        <v>TI-290</v>
      </c>
      <c r="B168">
        <v>290</v>
      </c>
      <c r="C168" t="s">
        <v>27</v>
      </c>
      <c r="D168">
        <v>163</v>
      </c>
      <c r="E168">
        <v>0</v>
      </c>
      <c r="F168" t="str">
        <f>HYPERLINK(".\links\cds\TI-290-cds.txt","TI-290")</f>
        <v>TI-290</v>
      </c>
      <c r="G168">
        <v>491</v>
      </c>
      <c r="H168"/>
      <c r="I168" t="s">
        <v>8</v>
      </c>
      <c r="J168" t="s">
        <v>6</v>
      </c>
      <c r="K168">
        <v>2</v>
      </c>
      <c r="L168">
        <v>0</v>
      </c>
      <c r="M168">
        <f t="shared" si="8"/>
        <v>2</v>
      </c>
      <c r="N168">
        <f t="shared" si="9"/>
        <v>2</v>
      </c>
      <c r="O168" t="s">
        <v>1307</v>
      </c>
      <c r="P168" t="s">
        <v>1187</v>
      </c>
      <c r="Q168" t="str">
        <f>HYPERLINK(".\links\NR-LIGHT\TI-290-NR-LIGHT.txt","NR-LIGHT")</f>
        <v>NR-LIGHT</v>
      </c>
      <c r="R168" s="3">
        <v>8.9999999999999993E-30</v>
      </c>
      <c r="S168">
        <v>66.900000000000006</v>
      </c>
      <c r="T168" t="str">
        <f>HYPERLINK(".\links\NR-LIGHT\TI-290-NR-LIGHT.txt","hypothetical protein DAPPUDRAFT_238099")</f>
        <v>hypothetical protein DAPPUDRAFT_238099</v>
      </c>
      <c r="U168" t="str">
        <f>HYPERLINK("http://www.ncbi.nlm.nih.gov/sutils/blink.cgi?pid=321474467","4E-030")</f>
        <v>4E-030</v>
      </c>
      <c r="V168" t="str">
        <f>HYPERLINK("http://www.ncbi.nlm.nih.gov/protein/321474467","gi|321474467")</f>
        <v>gi|321474467</v>
      </c>
      <c r="W168">
        <v>132</v>
      </c>
      <c r="X168">
        <v>150</v>
      </c>
      <c r="Y168">
        <v>237</v>
      </c>
      <c r="Z168">
        <v>50</v>
      </c>
      <c r="AA168">
        <v>64</v>
      </c>
      <c r="AB168">
        <v>78</v>
      </c>
      <c r="AC168">
        <v>11</v>
      </c>
      <c r="AD168">
        <v>7</v>
      </c>
      <c r="AE168">
        <v>12</v>
      </c>
      <c r="AF168">
        <v>1</v>
      </c>
      <c r="AG168"/>
      <c r="AH168" t="s">
        <v>13</v>
      </c>
      <c r="AI168" t="s">
        <v>51</v>
      </c>
      <c r="AJ168" t="s">
        <v>270</v>
      </c>
      <c r="AK168" t="str">
        <f>HYPERLINK(".\links\SWISSP\TI-290-SWISSP.txt","Golgi SNAP receptor complex member 1 OS=Pongo abelii GN=GOSR1 PE=2 SV=1")</f>
        <v>Golgi SNAP receptor complex member 1 OS=Pongo abelii GN=GOSR1 PE=2 SV=1</v>
      </c>
      <c r="AL168" t="str">
        <f>HYPERLINK("http://www.uniprot.org/uniprot/Q5RBL6","1E-029")</f>
        <v>1E-029</v>
      </c>
      <c r="AM168" t="s">
        <v>178</v>
      </c>
      <c r="AN168">
        <v>129</v>
      </c>
      <c r="AO168">
        <v>163</v>
      </c>
      <c r="AP168">
        <v>248</v>
      </c>
      <c r="AQ168">
        <v>46</v>
      </c>
      <c r="AR168">
        <v>66</v>
      </c>
      <c r="AS168">
        <v>88</v>
      </c>
      <c r="AT168">
        <v>13</v>
      </c>
      <c r="AU168">
        <v>5</v>
      </c>
      <c r="AV168">
        <v>9</v>
      </c>
      <c r="AW168">
        <v>1</v>
      </c>
      <c r="AX168" t="s">
        <v>121</v>
      </c>
      <c r="AY168" t="str">
        <f>HYPERLINK(".\links\PREV-RHOD-PEP\TI-290-PREV-RHOD-PEP.txt","Contig17794_96")</f>
        <v>Contig17794_96</v>
      </c>
      <c r="AZ168" s="3">
        <v>7.9999999999999997E-72</v>
      </c>
      <c r="BA168" t="s">
        <v>1098</v>
      </c>
      <c r="BB168">
        <v>265</v>
      </c>
      <c r="BC168">
        <v>153</v>
      </c>
      <c r="BD168">
        <v>234</v>
      </c>
      <c r="BE168">
        <v>83</v>
      </c>
      <c r="BF168">
        <v>66</v>
      </c>
      <c r="BG168">
        <v>26</v>
      </c>
      <c r="BH168">
        <v>2</v>
      </c>
      <c r="BI168">
        <v>1</v>
      </c>
      <c r="BJ168">
        <v>8</v>
      </c>
      <c r="BK168">
        <v>1</v>
      </c>
      <c r="BL168" t="s">
        <v>768</v>
      </c>
      <c r="BM168">
        <f>HYPERLINK(".\links\GO\TI-290-GO.txt",1E-29)</f>
        <v>9.9999999999999994E-30</v>
      </c>
      <c r="BN168" t="s">
        <v>590</v>
      </c>
      <c r="BO168" t="s">
        <v>340</v>
      </c>
      <c r="BP168" t="s">
        <v>341</v>
      </c>
      <c r="BQ168" t="s">
        <v>591</v>
      </c>
      <c r="BR168" s="3">
        <v>9.9999999999999994E-30</v>
      </c>
      <c r="BS168" t="s">
        <v>526</v>
      </c>
      <c r="BT168" t="s">
        <v>323</v>
      </c>
      <c r="BU168" t="s">
        <v>334</v>
      </c>
      <c r="BV168" t="s">
        <v>527</v>
      </c>
      <c r="BW168" s="3">
        <v>9.9999999999999994E-30</v>
      </c>
      <c r="BX168" t="s">
        <v>769</v>
      </c>
      <c r="BY168" t="s">
        <v>340</v>
      </c>
      <c r="BZ168" t="s">
        <v>341</v>
      </c>
      <c r="CA168" t="s">
        <v>770</v>
      </c>
      <c r="CB168" s="3">
        <v>9.9999999999999994E-30</v>
      </c>
      <c r="CC168" t="s">
        <v>8</v>
      </c>
      <c r="CD168"/>
      <c r="CE168"/>
      <c r="CF168" t="s">
        <v>8</v>
      </c>
      <c r="CG168"/>
      <c r="CH168"/>
      <c r="CI168" t="s">
        <v>8</v>
      </c>
      <c r="CJ168"/>
      <c r="CK168" t="s">
        <v>8</v>
      </c>
      <c r="CL168"/>
      <c r="CM168" t="s">
        <v>8</v>
      </c>
      <c r="CN168"/>
      <c r="CO168" t="s">
        <v>8</v>
      </c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 t="s">
        <v>8</v>
      </c>
      <c r="DD168"/>
      <c r="DE168"/>
      <c r="DF168"/>
      <c r="DG168"/>
      <c r="DH168"/>
      <c r="DI168"/>
      <c r="DJ168"/>
      <c r="DK168"/>
      <c r="DL168"/>
      <c r="DM168"/>
      <c r="DN168"/>
      <c r="DO168"/>
      <c r="DP168"/>
    </row>
    <row r="169" spans="1:120" s="6" customFormat="1">
      <c r="A169" t="str">
        <f>HYPERLINK(".\links\pep\TI-291-pep.txt","TI-291")</f>
        <v>TI-291</v>
      </c>
      <c r="B169">
        <v>291</v>
      </c>
      <c r="C169" t="s">
        <v>25</v>
      </c>
      <c r="D169">
        <v>172</v>
      </c>
      <c r="E169" s="2">
        <v>2.3255810000000001</v>
      </c>
      <c r="F169" t="str">
        <f>HYPERLINK(".\links\cds\TI-291-cds.txt","TI-291")</f>
        <v>TI-291</v>
      </c>
      <c r="G169">
        <v>519</v>
      </c>
      <c r="H169"/>
      <c r="I169" t="s">
        <v>8</v>
      </c>
      <c r="J169" t="s">
        <v>6</v>
      </c>
      <c r="K169">
        <v>0</v>
      </c>
      <c r="L169">
        <v>1</v>
      </c>
      <c r="M169">
        <f t="shared" si="8"/>
        <v>-1</v>
      </c>
      <c r="N169">
        <f t="shared" si="9"/>
        <v>1</v>
      </c>
      <c r="O169" t="s">
        <v>1218</v>
      </c>
      <c r="P169" t="s">
        <v>1178</v>
      </c>
      <c r="Q169" t="str">
        <f>HYPERLINK(".\links\NR-LIGHT\TI-291-NR-LIGHT.txt","NR-LIGHT")</f>
        <v>NR-LIGHT</v>
      </c>
      <c r="R169" s="3">
        <v>7.0000000000000002E-59</v>
      </c>
      <c r="S169">
        <v>21.3</v>
      </c>
      <c r="T169" t="str">
        <f>HYPERLINK(".\links\NR-LIGHT\TI-291-NR-LIGHT.txt","similar to ENSANGP00000001286")</f>
        <v>similar to ENSANGP00000001286</v>
      </c>
      <c r="U169" t="str">
        <f>HYPERLINK("http://www.ncbi.nlm.nih.gov/sutils/blink.cgi?pid=156554871","7E-059")</f>
        <v>7E-059</v>
      </c>
      <c r="V169" t="str">
        <f>HYPERLINK("http://www.ncbi.nlm.nih.gov/protein/156554871","gi|156554871")</f>
        <v>gi|156554871</v>
      </c>
      <c r="W169">
        <v>228</v>
      </c>
      <c r="X169">
        <v>168</v>
      </c>
      <c r="Y169">
        <v>790</v>
      </c>
      <c r="Z169">
        <v>69</v>
      </c>
      <c r="AA169">
        <v>21</v>
      </c>
      <c r="AB169">
        <v>51</v>
      </c>
      <c r="AC169">
        <v>0</v>
      </c>
      <c r="AD169">
        <v>430</v>
      </c>
      <c r="AE169">
        <v>3</v>
      </c>
      <c r="AF169">
        <v>1</v>
      </c>
      <c r="AG169"/>
      <c r="AH169" t="s">
        <v>13</v>
      </c>
      <c r="AI169" t="s">
        <v>51</v>
      </c>
      <c r="AJ169" t="s">
        <v>274</v>
      </c>
      <c r="AK169" t="str">
        <f>HYPERLINK(".\links\SWISSP\TI-291-SWISSP.txt","TBC1 domain family member CG11727 OS=Drosophila melanogaster GN=CG11727 PE=1")</f>
        <v>TBC1 domain family member CG11727 OS=Drosophila melanogaster GN=CG11727 PE=1</v>
      </c>
      <c r="AL169" t="str">
        <f>HYPERLINK("http://www.uniprot.org/uniprot/Q9VYY9","2E-044")</f>
        <v>2E-044</v>
      </c>
      <c r="AM169" t="s">
        <v>96</v>
      </c>
      <c r="AN169">
        <v>177</v>
      </c>
      <c r="AO169">
        <v>174</v>
      </c>
      <c r="AP169">
        <v>807</v>
      </c>
      <c r="AQ169">
        <v>54</v>
      </c>
      <c r="AR169">
        <v>22</v>
      </c>
      <c r="AS169">
        <v>79</v>
      </c>
      <c r="AT169">
        <v>6</v>
      </c>
      <c r="AU169">
        <v>406</v>
      </c>
      <c r="AV169">
        <v>3</v>
      </c>
      <c r="AW169">
        <v>1</v>
      </c>
      <c r="AX169" t="s">
        <v>52</v>
      </c>
      <c r="AY169" t="str">
        <f>HYPERLINK(".\links\PREV-RHOD-PEP\TI-291-PREV-RHOD-PEP.txt","Contig17358_14")</f>
        <v>Contig17358_14</v>
      </c>
      <c r="AZ169" s="3">
        <v>9.9999999999999996E-81</v>
      </c>
      <c r="BA169" t="s">
        <v>1011</v>
      </c>
      <c r="BB169">
        <v>294</v>
      </c>
      <c r="BC169">
        <v>168</v>
      </c>
      <c r="BD169">
        <v>838</v>
      </c>
      <c r="BE169">
        <v>88</v>
      </c>
      <c r="BF169">
        <v>20</v>
      </c>
      <c r="BG169">
        <v>20</v>
      </c>
      <c r="BH169">
        <v>0</v>
      </c>
      <c r="BI169">
        <v>399</v>
      </c>
      <c r="BJ169">
        <v>3</v>
      </c>
      <c r="BK169">
        <v>1</v>
      </c>
      <c r="BL169" t="s">
        <v>461</v>
      </c>
      <c r="BM169">
        <f>HYPERLINK(".\links\GO\TI-291-GO.txt",0.000000000000001)</f>
        <v>1.0000000000000001E-15</v>
      </c>
      <c r="BN169" t="s">
        <v>462</v>
      </c>
      <c r="BO169" t="s">
        <v>463</v>
      </c>
      <c r="BP169" t="s">
        <v>464</v>
      </c>
      <c r="BQ169" t="s">
        <v>465</v>
      </c>
      <c r="BR169">
        <v>2.0000000000000001E-13</v>
      </c>
      <c r="BS169" t="s">
        <v>8</v>
      </c>
      <c r="BT169" t="s">
        <v>8</v>
      </c>
      <c r="BU169" t="s">
        <v>8</v>
      </c>
      <c r="BV169" t="s">
        <v>8</v>
      </c>
      <c r="BW169" t="s">
        <v>8</v>
      </c>
      <c r="BX169" t="s">
        <v>8</v>
      </c>
      <c r="BY169" t="s">
        <v>8</v>
      </c>
      <c r="BZ169" t="s">
        <v>8</v>
      </c>
      <c r="CA169" t="s">
        <v>8</v>
      </c>
      <c r="CB169" t="s">
        <v>8</v>
      </c>
      <c r="CC169" t="s">
        <v>8</v>
      </c>
      <c r="CD169"/>
      <c r="CE169"/>
      <c r="CF169" t="s">
        <v>8</v>
      </c>
      <c r="CG169"/>
      <c r="CH169"/>
      <c r="CI169" t="s">
        <v>8</v>
      </c>
      <c r="CJ169"/>
      <c r="CK169" t="s">
        <v>8</v>
      </c>
      <c r="CL169"/>
      <c r="CM169" t="s">
        <v>8</v>
      </c>
      <c r="CN169"/>
      <c r="CO169" t="s">
        <v>8</v>
      </c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 t="s">
        <v>8</v>
      </c>
      <c r="DD169"/>
      <c r="DE169"/>
      <c r="DF169"/>
      <c r="DG169"/>
      <c r="DH169"/>
      <c r="DI169"/>
      <c r="DJ169"/>
      <c r="DK169"/>
      <c r="DL169"/>
      <c r="DM169"/>
      <c r="DN169"/>
      <c r="DO169"/>
      <c r="DP169"/>
    </row>
    <row r="170" spans="1:120" s="6" customFormat="1">
      <c r="A170" t="str">
        <f>HYPERLINK(".\links\pep\TI-292-pep.txt","TI-292")</f>
        <v>TI-292</v>
      </c>
      <c r="B170">
        <v>292</v>
      </c>
      <c r="C170" t="s">
        <v>19</v>
      </c>
      <c r="D170">
        <v>201</v>
      </c>
      <c r="E170">
        <v>0</v>
      </c>
      <c r="F170" t="str">
        <f>HYPERLINK(".\links\cds\TI-292-cds.txt","TI-292")</f>
        <v>TI-292</v>
      </c>
      <c r="G170">
        <v>606</v>
      </c>
      <c r="H170"/>
      <c r="I170" t="s">
        <v>8</v>
      </c>
      <c r="J170" t="s">
        <v>6</v>
      </c>
      <c r="K170">
        <v>0</v>
      </c>
      <c r="L170">
        <v>1</v>
      </c>
      <c r="M170">
        <f t="shared" si="8"/>
        <v>-1</v>
      </c>
      <c r="N170">
        <f t="shared" si="9"/>
        <v>1</v>
      </c>
      <c r="O170" t="s">
        <v>1308</v>
      </c>
      <c r="P170" t="s">
        <v>1190</v>
      </c>
      <c r="Q170" t="str">
        <f>HYPERLINK(".\links\NR-LIGHT\TI-292-NR-LIGHT.txt","NR-LIGHT")</f>
        <v>NR-LIGHT</v>
      </c>
      <c r="R170" s="3">
        <v>2.0000000000000001E-89</v>
      </c>
      <c r="S170">
        <v>93.4</v>
      </c>
      <c r="T170" t="str">
        <f>HYPERLINK(".\links\NR-LIGHT\TI-292-NR-LIGHT.txt","vacuolar protein sorting-associated protein 28 homolog")</f>
        <v>vacuolar protein sorting-associated protein 28 homolog</v>
      </c>
      <c r="U170" t="str">
        <f>HYPERLINK("http://www.ncbi.nlm.nih.gov/sutils/blink.cgi?pid=66506589","2E-089")</f>
        <v>2E-089</v>
      </c>
      <c r="V170" t="str">
        <f>HYPERLINK("http://www.ncbi.nlm.nih.gov/protein/66506589","gi|66506589")</f>
        <v>gi|66506589</v>
      </c>
      <c r="W170">
        <v>330</v>
      </c>
      <c r="X170">
        <v>198</v>
      </c>
      <c r="Y170">
        <v>213</v>
      </c>
      <c r="Z170">
        <v>77</v>
      </c>
      <c r="AA170">
        <v>93</v>
      </c>
      <c r="AB170">
        <v>44</v>
      </c>
      <c r="AC170">
        <v>0</v>
      </c>
      <c r="AD170">
        <v>15</v>
      </c>
      <c r="AE170">
        <v>3</v>
      </c>
      <c r="AF170">
        <v>1</v>
      </c>
      <c r="AG170"/>
      <c r="AH170" t="s">
        <v>13</v>
      </c>
      <c r="AI170" t="s">
        <v>51</v>
      </c>
      <c r="AJ170" t="s">
        <v>83</v>
      </c>
      <c r="AK170" t="str">
        <f>HYPERLINK(".\links\SWISSP\TI-292-SWISSP.txt","Vacuolar protein sorting-associated protein 28 homolog OS=Mus musculus GN=Vps28")</f>
        <v>Vacuolar protein sorting-associated protein 28 homolog OS=Mus musculus GN=Vps28</v>
      </c>
      <c r="AL170" t="str">
        <f>HYPERLINK("http://www.uniprot.org/uniprot/Q9D1C8","1E-081")</f>
        <v>1E-081</v>
      </c>
      <c r="AM170" t="s">
        <v>179</v>
      </c>
      <c r="AN170">
        <v>301</v>
      </c>
      <c r="AO170">
        <v>195</v>
      </c>
      <c r="AP170">
        <v>221</v>
      </c>
      <c r="AQ170">
        <v>71</v>
      </c>
      <c r="AR170">
        <v>89</v>
      </c>
      <c r="AS170">
        <v>56</v>
      </c>
      <c r="AT170">
        <v>0</v>
      </c>
      <c r="AU170">
        <v>25</v>
      </c>
      <c r="AV170">
        <v>3</v>
      </c>
      <c r="AW170">
        <v>1</v>
      </c>
      <c r="AX170" t="s">
        <v>87</v>
      </c>
      <c r="AY170" t="str">
        <f>HYPERLINK(".\links\PREV-RHOD-PEP\TI-292-PREV-RHOD-PEP.txt","Contig3111_5")</f>
        <v>Contig3111_5</v>
      </c>
      <c r="AZ170" s="3">
        <v>1.0000000000000001E-110</v>
      </c>
      <c r="BA170" t="s">
        <v>1099</v>
      </c>
      <c r="BB170">
        <v>391</v>
      </c>
      <c r="BC170">
        <v>198</v>
      </c>
      <c r="BD170">
        <v>214</v>
      </c>
      <c r="BE170">
        <v>95</v>
      </c>
      <c r="BF170">
        <v>93</v>
      </c>
      <c r="BG170">
        <v>8</v>
      </c>
      <c r="BH170">
        <v>0</v>
      </c>
      <c r="BI170">
        <v>16</v>
      </c>
      <c r="BJ170">
        <v>3</v>
      </c>
      <c r="BK170">
        <v>1</v>
      </c>
      <c r="BL170" t="s">
        <v>771</v>
      </c>
      <c r="BM170">
        <f>HYPERLINK(".\links\GO\TI-292-GO.txt",3E-82)</f>
        <v>2.9999999999999999E-82</v>
      </c>
      <c r="BN170" t="s">
        <v>339</v>
      </c>
      <c r="BO170" t="s">
        <v>340</v>
      </c>
      <c r="BP170" t="s">
        <v>341</v>
      </c>
      <c r="BQ170" t="s">
        <v>342</v>
      </c>
      <c r="BR170" s="3">
        <v>2.9999999999999999E-82</v>
      </c>
      <c r="BS170" t="s">
        <v>356</v>
      </c>
      <c r="BT170" t="s">
        <v>323</v>
      </c>
      <c r="BU170" t="s">
        <v>334</v>
      </c>
      <c r="BV170" t="s">
        <v>357</v>
      </c>
      <c r="BW170" s="3">
        <v>2.9999999999999999E-82</v>
      </c>
      <c r="BX170" t="s">
        <v>772</v>
      </c>
      <c r="BY170" t="s">
        <v>340</v>
      </c>
      <c r="BZ170" t="s">
        <v>341</v>
      </c>
      <c r="CA170" t="s">
        <v>773</v>
      </c>
      <c r="CB170" s="3">
        <v>2.9999999999999999E-82</v>
      </c>
      <c r="CC170" t="s">
        <v>8</v>
      </c>
      <c r="CD170"/>
      <c r="CE170"/>
      <c r="CF170" t="s">
        <v>8</v>
      </c>
      <c r="CG170"/>
      <c r="CH170"/>
      <c r="CI170" t="s">
        <v>8</v>
      </c>
      <c r="CJ170"/>
      <c r="CK170" t="s">
        <v>8</v>
      </c>
      <c r="CL170"/>
      <c r="CM170" t="s">
        <v>8</v>
      </c>
      <c r="CN170"/>
      <c r="CO170" t="s">
        <v>8</v>
      </c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 t="s">
        <v>8</v>
      </c>
      <c r="DD170"/>
      <c r="DE170"/>
      <c r="DF170"/>
      <c r="DG170"/>
      <c r="DH170"/>
      <c r="DI170"/>
      <c r="DJ170"/>
      <c r="DK170"/>
      <c r="DL170"/>
      <c r="DM170"/>
      <c r="DN170"/>
      <c r="DO170"/>
      <c r="DP170"/>
    </row>
    <row r="171" spans="1:120" s="6" customFormat="1">
      <c r="A171" s="6" t="str">
        <f>HYPERLINK(".\links\pep\TI-293-pep.txt","TI-293")</f>
        <v>TI-293</v>
      </c>
      <c r="B171" s="6">
        <v>293</v>
      </c>
      <c r="C171" s="6" t="s">
        <v>15</v>
      </c>
      <c r="D171" s="6">
        <v>166</v>
      </c>
      <c r="E171" s="6">
        <v>0</v>
      </c>
      <c r="F171" s="6" t="str">
        <f>HYPERLINK(".\links\cds\TI-293-cds.txt","TI-293")</f>
        <v>TI-293</v>
      </c>
      <c r="G171" s="6">
        <v>501</v>
      </c>
      <c r="I171" s="6" t="s">
        <v>8</v>
      </c>
      <c r="J171" s="6" t="s">
        <v>6</v>
      </c>
      <c r="K171" s="6">
        <v>0</v>
      </c>
      <c r="L171" s="6">
        <v>1</v>
      </c>
      <c r="M171" s="6">
        <f t="shared" si="8"/>
        <v>-1</v>
      </c>
      <c r="N171" s="6">
        <f t="shared" si="9"/>
        <v>1</v>
      </c>
      <c r="O171" s="6" t="s">
        <v>1170</v>
      </c>
      <c r="P171" s="6" t="s">
        <v>1171</v>
      </c>
      <c r="T171" s="6" t="s">
        <v>8</v>
      </c>
      <c r="AK171" s="6" t="s">
        <v>8</v>
      </c>
      <c r="AY171" s="6" t="str">
        <f>HYPERLINK(".\links\PREV-RHOD-PEP\TI-293-PREV-RHOD-PEP.txt","Contig17357_20")</f>
        <v>Contig17357_20</v>
      </c>
      <c r="AZ171" s="8">
        <v>3.9999999999999997E-24</v>
      </c>
      <c r="BA171" s="6" t="s">
        <v>1100</v>
      </c>
      <c r="BB171" s="6">
        <v>106</v>
      </c>
      <c r="BC171" s="6">
        <v>95</v>
      </c>
      <c r="BD171" s="6">
        <v>1136</v>
      </c>
      <c r="BE171" s="6">
        <v>59</v>
      </c>
      <c r="BF171" s="6">
        <v>8</v>
      </c>
      <c r="BG171" s="6">
        <v>39</v>
      </c>
      <c r="BH171" s="6">
        <v>1</v>
      </c>
      <c r="BI171" s="6">
        <v>1041</v>
      </c>
      <c r="BJ171" s="6">
        <v>72</v>
      </c>
      <c r="BK171" s="6">
        <v>1</v>
      </c>
      <c r="BL171" s="6" t="s">
        <v>8</v>
      </c>
      <c r="CC171" s="6" t="s">
        <v>8</v>
      </c>
      <c r="CF171" s="6" t="s">
        <v>8</v>
      </c>
      <c r="CI171" s="6" t="s">
        <v>8</v>
      </c>
      <c r="CK171" s="6" t="s">
        <v>8</v>
      </c>
      <c r="CM171" s="6" t="s">
        <v>8</v>
      </c>
      <c r="CO171" s="6" t="s">
        <v>8</v>
      </c>
      <c r="DC171" s="6" t="s">
        <v>8</v>
      </c>
    </row>
    <row r="172" spans="1:120" s="6" customFormat="1">
      <c r="A172" s="6" t="str">
        <f>HYPERLINK(".\links\pep\TI-294-pep.txt","TI-294")</f>
        <v>TI-294</v>
      </c>
      <c r="B172" s="6">
        <v>294</v>
      </c>
      <c r="C172" s="6" t="s">
        <v>10</v>
      </c>
      <c r="D172" s="6">
        <v>18</v>
      </c>
      <c r="E172" s="6">
        <v>0</v>
      </c>
      <c r="F172" s="6" t="str">
        <f>HYPERLINK(".\links\cds\TI-294-cds.txt","TI-294")</f>
        <v>TI-294</v>
      </c>
      <c r="G172" s="6">
        <v>54</v>
      </c>
      <c r="I172" s="6" t="s">
        <v>8</v>
      </c>
      <c r="J172" s="6" t="s">
        <v>8</v>
      </c>
      <c r="K172" s="6">
        <v>0</v>
      </c>
      <c r="L172" s="6">
        <v>1</v>
      </c>
      <c r="M172" s="6">
        <f t="shared" si="8"/>
        <v>-1</v>
      </c>
      <c r="N172" s="6">
        <f t="shared" si="9"/>
        <v>1</v>
      </c>
      <c r="O172" s="6" t="s">
        <v>1170</v>
      </c>
      <c r="P172" s="6" t="s">
        <v>1171</v>
      </c>
      <c r="T172" s="6" t="s">
        <v>8</v>
      </c>
      <c r="AK172" s="6" t="s">
        <v>8</v>
      </c>
      <c r="AY172" s="6" t="s">
        <v>8</v>
      </c>
      <c r="BL172" s="6" t="s">
        <v>8</v>
      </c>
      <c r="CC172" s="6" t="s">
        <v>8</v>
      </c>
      <c r="CF172" s="6" t="s">
        <v>8</v>
      </c>
      <c r="CI172" s="6" t="s">
        <v>8</v>
      </c>
      <c r="CK172" s="6" t="s">
        <v>8</v>
      </c>
      <c r="CM172" s="6" t="s">
        <v>8</v>
      </c>
      <c r="CO172" s="6" t="s">
        <v>8</v>
      </c>
      <c r="DC172" s="6" t="s">
        <v>8</v>
      </c>
    </row>
    <row r="173" spans="1:120" s="6" customFormat="1">
      <c r="A173" t="str">
        <f>HYPERLINK(".\links\pep\TI-295-pep.txt","TI-295")</f>
        <v>TI-295</v>
      </c>
      <c r="B173">
        <v>295</v>
      </c>
      <c r="C173" t="s">
        <v>19</v>
      </c>
      <c r="D173">
        <v>174</v>
      </c>
      <c r="E173">
        <v>0</v>
      </c>
      <c r="F173" t="str">
        <f>HYPERLINK(".\links\cds\TI-295-cds.txt","TI-295")</f>
        <v>TI-295</v>
      </c>
      <c r="G173">
        <v>525</v>
      </c>
      <c r="H173"/>
      <c r="I173" t="s">
        <v>8</v>
      </c>
      <c r="J173" t="s">
        <v>6</v>
      </c>
      <c r="K173">
        <v>3</v>
      </c>
      <c r="L173">
        <v>0</v>
      </c>
      <c r="M173">
        <f t="shared" si="8"/>
        <v>3</v>
      </c>
      <c r="N173">
        <f t="shared" si="9"/>
        <v>3</v>
      </c>
      <c r="O173" t="s">
        <v>1219</v>
      </c>
      <c r="P173" t="s">
        <v>1173</v>
      </c>
      <c r="Q173" t="str">
        <f>HYPERLINK(".\links\GO\TI-295-GO.txt","GO")</f>
        <v>GO</v>
      </c>
      <c r="R173" s="3">
        <v>9.9999999999999996E-39</v>
      </c>
      <c r="S173">
        <v>32.799999999999997</v>
      </c>
      <c r="T173" t="str">
        <f>HYPERLINK(".\links\NR-LIGHT\TI-295-NR-LIGHT.txt","amidotransferase subunit A, putative")</f>
        <v>amidotransferase subunit A, putative</v>
      </c>
      <c r="U173" t="str">
        <f>HYPERLINK("http://www.ncbi.nlm.nih.gov/sutils/blink.cgi?pid=242007160","2E-046")</f>
        <v>2E-046</v>
      </c>
      <c r="V173" t="str">
        <f>HYPERLINK("http://www.ncbi.nlm.nih.gov/protein/242007160","gi|242007160")</f>
        <v>gi|242007160</v>
      </c>
      <c r="W173">
        <v>187</v>
      </c>
      <c r="X173">
        <v>170</v>
      </c>
      <c r="Y173">
        <v>520</v>
      </c>
      <c r="Z173">
        <v>51</v>
      </c>
      <c r="AA173">
        <v>33</v>
      </c>
      <c r="AB173">
        <v>83</v>
      </c>
      <c r="AC173">
        <v>1</v>
      </c>
      <c r="AD173">
        <v>348</v>
      </c>
      <c r="AE173">
        <v>2</v>
      </c>
      <c r="AF173">
        <v>1</v>
      </c>
      <c r="AG173"/>
      <c r="AH173" t="s">
        <v>13</v>
      </c>
      <c r="AI173" t="s">
        <v>51</v>
      </c>
      <c r="AJ173" t="s">
        <v>268</v>
      </c>
      <c r="AK173" t="str">
        <f>HYPERLINK(".\links\SWISSP\TI-295-SWISSP.txt","Fatty-acid amide hydrolase 2 OS=Homo sapiens GN=FAAH2 PE=2 SV=1")</f>
        <v>Fatty-acid amide hydrolase 2 OS=Homo sapiens GN=FAAH2 PE=2 SV=1</v>
      </c>
      <c r="AL173" t="str">
        <f>HYPERLINK("http://www.uniprot.org/uniprot/Q6GMR7","3E-036")</f>
        <v>3E-036</v>
      </c>
      <c r="AM173" t="s">
        <v>180</v>
      </c>
      <c r="AN173">
        <v>150</v>
      </c>
      <c r="AO173">
        <v>176</v>
      </c>
      <c r="AP173">
        <v>532</v>
      </c>
      <c r="AQ173">
        <v>48</v>
      </c>
      <c r="AR173">
        <v>33</v>
      </c>
      <c r="AS173">
        <v>92</v>
      </c>
      <c r="AT173">
        <v>8</v>
      </c>
      <c r="AU173">
        <v>353</v>
      </c>
      <c r="AV173">
        <v>3</v>
      </c>
      <c r="AW173">
        <v>1</v>
      </c>
      <c r="AX173" t="s">
        <v>68</v>
      </c>
      <c r="AY173" t="str">
        <f>HYPERLINK(".\links\PREV-RHOD-PEP\TI-295-PREV-RHOD-PEP.txt","Contig17909_77")</f>
        <v>Contig17909_77</v>
      </c>
      <c r="AZ173" s="3">
        <v>8.9999999999999992E-87</v>
      </c>
      <c r="BA173" t="s">
        <v>1101</v>
      </c>
      <c r="BB173">
        <v>315</v>
      </c>
      <c r="BC173">
        <v>172</v>
      </c>
      <c r="BD173">
        <v>761</v>
      </c>
      <c r="BE173">
        <v>84</v>
      </c>
      <c r="BF173">
        <v>23</v>
      </c>
      <c r="BG173">
        <v>26</v>
      </c>
      <c r="BH173">
        <v>0</v>
      </c>
      <c r="BI173">
        <v>588</v>
      </c>
      <c r="BJ173">
        <v>1</v>
      </c>
      <c r="BK173">
        <v>1</v>
      </c>
      <c r="BL173" t="s">
        <v>774</v>
      </c>
      <c r="BM173">
        <f>HYPERLINK(".\links\GO\TI-295-GO.txt",1E-38)</f>
        <v>9.9999999999999996E-39</v>
      </c>
      <c r="BN173" t="s">
        <v>8</v>
      </c>
      <c r="BO173" t="s">
        <v>8</v>
      </c>
      <c r="BP173" t="s">
        <v>8</v>
      </c>
      <c r="BQ173" t="s">
        <v>8</v>
      </c>
      <c r="BR173" t="s">
        <v>8</v>
      </c>
      <c r="BS173" t="s">
        <v>8</v>
      </c>
      <c r="BT173" t="s">
        <v>8</v>
      </c>
      <c r="BU173" t="s">
        <v>8</v>
      </c>
      <c r="BV173" t="s">
        <v>8</v>
      </c>
      <c r="BW173" t="s">
        <v>8</v>
      </c>
      <c r="BX173" t="s">
        <v>775</v>
      </c>
      <c r="BY173" t="s">
        <v>345</v>
      </c>
      <c r="BZ173" t="s">
        <v>349</v>
      </c>
      <c r="CA173" t="s">
        <v>776</v>
      </c>
      <c r="CB173">
        <v>1E-3</v>
      </c>
      <c r="CC173" t="s">
        <v>8</v>
      </c>
      <c r="CD173"/>
      <c r="CE173"/>
      <c r="CF173" t="s">
        <v>8</v>
      </c>
      <c r="CG173"/>
      <c r="CH173"/>
      <c r="CI173" t="s">
        <v>8</v>
      </c>
      <c r="CJ173"/>
      <c r="CK173" t="s">
        <v>8</v>
      </c>
      <c r="CL173"/>
      <c r="CM173" t="s">
        <v>8</v>
      </c>
      <c r="CN173"/>
      <c r="CO173" t="s">
        <v>8</v>
      </c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 t="s">
        <v>8</v>
      </c>
      <c r="DD173"/>
      <c r="DE173"/>
      <c r="DF173"/>
      <c r="DG173"/>
      <c r="DH173"/>
      <c r="DI173"/>
      <c r="DJ173"/>
      <c r="DK173"/>
      <c r="DL173"/>
      <c r="DM173"/>
      <c r="DN173"/>
      <c r="DO173"/>
      <c r="DP173"/>
    </row>
    <row r="174" spans="1:120" s="6" customFormat="1">
      <c r="A174" t="str">
        <f>HYPERLINK(".\links\pep\TI-298-pep.txt","TI-298")</f>
        <v>TI-298</v>
      </c>
      <c r="B174">
        <v>298</v>
      </c>
      <c r="C174" t="s">
        <v>11</v>
      </c>
      <c r="D174">
        <v>241</v>
      </c>
      <c r="E174">
        <v>0</v>
      </c>
      <c r="F174" t="str">
        <f>HYPERLINK(".\links\cds\TI-298-cds.txt","TI-298")</f>
        <v>TI-298</v>
      </c>
      <c r="G174">
        <v>726</v>
      </c>
      <c r="H174"/>
      <c r="I174" t="s">
        <v>8</v>
      </c>
      <c r="J174" t="s">
        <v>6</v>
      </c>
      <c r="K174">
        <v>1</v>
      </c>
      <c r="L174">
        <v>0</v>
      </c>
      <c r="M174">
        <f t="shared" si="8"/>
        <v>1</v>
      </c>
      <c r="N174">
        <f t="shared" si="9"/>
        <v>1</v>
      </c>
      <c r="O174" t="s">
        <v>1309</v>
      </c>
      <c r="P174" t="s">
        <v>1178</v>
      </c>
      <c r="Q174" t="str">
        <f>HYPERLINK(".\links\NR-LIGHT\TI-298-NR-LIGHT.txt","NR-LIGHT")</f>
        <v>NR-LIGHT</v>
      </c>
      <c r="R174" s="3">
        <v>2.0000000000000001E-63</v>
      </c>
      <c r="S174">
        <v>40.4</v>
      </c>
      <c r="T174" t="str">
        <f>HYPERLINK(".\links\NR-LIGHT\TI-298-NR-LIGHT.txt","similar to AGAP005091-PB")</f>
        <v>similar to AGAP005091-PB</v>
      </c>
      <c r="U174" t="str">
        <f>HYPERLINK("http://www.ncbi.nlm.nih.gov/sutils/blink.cgi?pid=189234389","2E-063")</f>
        <v>2E-063</v>
      </c>
      <c r="V174" t="str">
        <f>HYPERLINK("http://www.ncbi.nlm.nih.gov/protein/189234389","gi|189234389")</f>
        <v>gi|189234389</v>
      </c>
      <c r="W174">
        <v>244</v>
      </c>
      <c r="X174">
        <v>232</v>
      </c>
      <c r="Y174">
        <v>581</v>
      </c>
      <c r="Z174">
        <v>56</v>
      </c>
      <c r="AA174">
        <v>40</v>
      </c>
      <c r="AB174">
        <v>103</v>
      </c>
      <c r="AC174">
        <v>8</v>
      </c>
      <c r="AD174">
        <v>264</v>
      </c>
      <c r="AE174">
        <v>5</v>
      </c>
      <c r="AF174">
        <v>1</v>
      </c>
      <c r="AG174"/>
      <c r="AH174" t="s">
        <v>13</v>
      </c>
      <c r="AI174" t="s">
        <v>51</v>
      </c>
      <c r="AJ174" t="s">
        <v>266</v>
      </c>
      <c r="AK174" t="str">
        <f>HYPERLINK(".\links\SWISSP\TI-298-SWISSP.txt","Protein GDAP2 homolog OS=Drosophila pseudoobscura pseudoobscura GN=GA15091 PE=3")</f>
        <v>Protein GDAP2 homolog OS=Drosophila pseudoobscura pseudoobscura GN=GA15091 PE=3</v>
      </c>
      <c r="AL174" t="str">
        <f>HYPERLINK("http://www.uniprot.org/uniprot/Q292F9","2E-053")</f>
        <v>2E-053</v>
      </c>
      <c r="AM174" t="s">
        <v>181</v>
      </c>
      <c r="AN174">
        <v>209</v>
      </c>
      <c r="AO174">
        <v>210</v>
      </c>
      <c r="AP174">
        <v>542</v>
      </c>
      <c r="AQ174">
        <v>52</v>
      </c>
      <c r="AR174">
        <v>39</v>
      </c>
      <c r="AS174">
        <v>100</v>
      </c>
      <c r="AT174">
        <v>4</v>
      </c>
      <c r="AU174">
        <v>327</v>
      </c>
      <c r="AV174">
        <v>29</v>
      </c>
      <c r="AW174">
        <v>1</v>
      </c>
      <c r="AX174" t="s">
        <v>107</v>
      </c>
      <c r="AY174" t="str">
        <f>HYPERLINK(".\links\PREV-RHOD-PEP\TI-298-PREV-RHOD-PEP.txt","Contig17945_17")</f>
        <v>Contig17945_17</v>
      </c>
      <c r="AZ174" s="3">
        <v>1.9999999999999999E-40</v>
      </c>
      <c r="BA174" t="s">
        <v>1102</v>
      </c>
      <c r="BB174">
        <v>162</v>
      </c>
      <c r="BC174">
        <v>111</v>
      </c>
      <c r="BD174">
        <v>774</v>
      </c>
      <c r="BE174">
        <v>71</v>
      </c>
      <c r="BF174">
        <v>14</v>
      </c>
      <c r="BG174">
        <v>32</v>
      </c>
      <c r="BH174">
        <v>0</v>
      </c>
      <c r="BI174">
        <v>14</v>
      </c>
      <c r="BJ174">
        <v>62</v>
      </c>
      <c r="BK174">
        <v>1</v>
      </c>
      <c r="BL174" t="s">
        <v>777</v>
      </c>
      <c r="BM174">
        <f>HYPERLINK(".\links\GO\TI-298-GO.txt",6E-24)</f>
        <v>5.9999999999999999E-24</v>
      </c>
      <c r="BN174" t="s">
        <v>373</v>
      </c>
      <c r="BO174" t="s">
        <v>373</v>
      </c>
      <c r="BP174"/>
      <c r="BQ174" t="s">
        <v>374</v>
      </c>
      <c r="BR174" s="3">
        <v>9.9999999999999996E-24</v>
      </c>
      <c r="BS174" t="s">
        <v>375</v>
      </c>
      <c r="BT174" t="s">
        <v>375</v>
      </c>
      <c r="BU174"/>
      <c r="BV174" t="s">
        <v>376</v>
      </c>
      <c r="BW174" s="3">
        <v>9.9999999999999996E-24</v>
      </c>
      <c r="BX174" t="s">
        <v>778</v>
      </c>
      <c r="BY174" t="s">
        <v>373</v>
      </c>
      <c r="BZ174"/>
      <c r="CA174" t="s">
        <v>779</v>
      </c>
      <c r="CB174" s="3">
        <v>9.9999999999999996E-24</v>
      </c>
      <c r="CC174" t="s">
        <v>8</v>
      </c>
      <c r="CD174"/>
      <c r="CE174"/>
      <c r="CF174" t="s">
        <v>8</v>
      </c>
      <c r="CG174"/>
      <c r="CH174"/>
      <c r="CI174" t="s">
        <v>8</v>
      </c>
      <c r="CJ174"/>
      <c r="CK174" t="s">
        <v>8</v>
      </c>
      <c r="CL174"/>
      <c r="CM174" t="s">
        <v>8</v>
      </c>
      <c r="CN174"/>
      <c r="CO174" t="s">
        <v>8</v>
      </c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 t="s">
        <v>8</v>
      </c>
      <c r="DD174"/>
      <c r="DE174"/>
      <c r="DF174"/>
      <c r="DG174"/>
      <c r="DH174"/>
      <c r="DI174"/>
      <c r="DJ174"/>
      <c r="DK174"/>
      <c r="DL174"/>
      <c r="DM174"/>
      <c r="DN174"/>
      <c r="DO174"/>
      <c r="DP174"/>
    </row>
    <row r="175" spans="1:120" s="6" customFormat="1">
      <c r="A175" t="str">
        <f>HYPERLINK(".\links\pep\TI-300-pep.txt","TI-300")</f>
        <v>TI-300</v>
      </c>
      <c r="B175">
        <v>300</v>
      </c>
      <c r="C175" t="s">
        <v>19</v>
      </c>
      <c r="D175">
        <v>209</v>
      </c>
      <c r="E175" s="2">
        <v>3.8277510000000001</v>
      </c>
      <c r="F175" t="str">
        <f>HYPERLINK(".\links\cds\TI-300-cds.txt","TI-300")</f>
        <v>TI-300</v>
      </c>
      <c r="G175">
        <v>625</v>
      </c>
      <c r="H175"/>
      <c r="I175" t="s">
        <v>8</v>
      </c>
      <c r="J175" t="s">
        <v>8</v>
      </c>
      <c r="K175">
        <v>0</v>
      </c>
      <c r="L175">
        <v>1</v>
      </c>
      <c r="M175">
        <f t="shared" si="8"/>
        <v>-1</v>
      </c>
      <c r="N175">
        <f t="shared" si="9"/>
        <v>1</v>
      </c>
      <c r="O175" t="s">
        <v>1310</v>
      </c>
      <c r="P175" t="s">
        <v>1208</v>
      </c>
      <c r="Q175" t="str">
        <f>HYPERLINK(".\links\NR-LIGHT\TI-300-NR-LIGHT.txt","NR-LIGHT")</f>
        <v>NR-LIGHT</v>
      </c>
      <c r="R175" s="3">
        <v>9.9999999999999996E-70</v>
      </c>
      <c r="S175">
        <v>14.1</v>
      </c>
      <c r="T175" t="str">
        <f>HYPERLINK(".\links\NR-LIGHT\TI-300-NR-LIGHT.txt","hypothetical protein TcasGA2_TC006551")</f>
        <v>hypothetical protein TcasGA2_TC006551</v>
      </c>
      <c r="U175" t="str">
        <f>HYPERLINK("http://www.ncbi.nlm.nih.gov/sutils/blink.cgi?pid=270012402","1E-069")</f>
        <v>1E-069</v>
      </c>
      <c r="V175" t="str">
        <f>HYPERLINK("http://www.ncbi.nlm.nih.gov/protein/270012402","gi|270012402")</f>
        <v>gi|270012402</v>
      </c>
      <c r="W175">
        <v>264</v>
      </c>
      <c r="X175">
        <v>209</v>
      </c>
      <c r="Y175">
        <v>1455</v>
      </c>
      <c r="Z175">
        <v>60</v>
      </c>
      <c r="AA175">
        <v>14</v>
      </c>
      <c r="AB175">
        <v>84</v>
      </c>
      <c r="AC175">
        <v>1</v>
      </c>
      <c r="AD175">
        <v>1193</v>
      </c>
      <c r="AE175">
        <v>1</v>
      </c>
      <c r="AF175">
        <v>1</v>
      </c>
      <c r="AG175"/>
      <c r="AH175" t="s">
        <v>13</v>
      </c>
      <c r="AI175" t="s">
        <v>51</v>
      </c>
      <c r="AJ175" t="s">
        <v>266</v>
      </c>
      <c r="AK175" t="str">
        <f>HYPERLINK(".\links\SWISSP\TI-300-SWISSP.txt","Inactive rhomboid protein 1 OS=Danio rerio GN=rhbdf1 PE=2 SV=1")</f>
        <v>Inactive rhomboid protein 1 OS=Danio rerio GN=rhbdf1 PE=2 SV=1</v>
      </c>
      <c r="AL175" t="str">
        <f>HYPERLINK("http://www.uniprot.org/uniprot/Q6GMF8","1E-050")</f>
        <v>1E-050</v>
      </c>
      <c r="AM175" t="s">
        <v>84</v>
      </c>
      <c r="AN175">
        <v>199</v>
      </c>
      <c r="AO175">
        <v>211</v>
      </c>
      <c r="AP175">
        <v>857</v>
      </c>
      <c r="AQ175">
        <v>46</v>
      </c>
      <c r="AR175">
        <v>25</v>
      </c>
      <c r="AS175">
        <v>114</v>
      </c>
      <c r="AT175">
        <v>6</v>
      </c>
      <c r="AU175">
        <v>600</v>
      </c>
      <c r="AV175">
        <v>1</v>
      </c>
      <c r="AW175">
        <v>1</v>
      </c>
      <c r="AX175" t="s">
        <v>85</v>
      </c>
      <c r="AY175" t="str">
        <f>HYPERLINK(".\links\PREV-RHOD-PEP\TI-300-PREV-RHOD-PEP.txt","Contig17523_36")</f>
        <v>Contig17523_36</v>
      </c>
      <c r="AZ175" s="3">
        <v>4.9999999999999999E-49</v>
      </c>
      <c r="BA175" t="s">
        <v>1007</v>
      </c>
      <c r="BB175">
        <v>189</v>
      </c>
      <c r="BC175">
        <v>105</v>
      </c>
      <c r="BD175">
        <v>690</v>
      </c>
      <c r="BE175">
        <v>83</v>
      </c>
      <c r="BF175">
        <v>15</v>
      </c>
      <c r="BG175">
        <v>17</v>
      </c>
      <c r="BH175">
        <v>1</v>
      </c>
      <c r="BI175">
        <v>570</v>
      </c>
      <c r="BJ175">
        <v>1</v>
      </c>
      <c r="BK175">
        <v>1</v>
      </c>
      <c r="BL175" t="s">
        <v>435</v>
      </c>
      <c r="BM175">
        <f>HYPERLINK(".\links\GO\TI-300-GO.txt",3E-51)</f>
        <v>3E-51</v>
      </c>
      <c r="BN175" t="s">
        <v>436</v>
      </c>
      <c r="BO175" t="s">
        <v>345</v>
      </c>
      <c r="BP175" t="s">
        <v>349</v>
      </c>
      <c r="BQ175" t="s">
        <v>437</v>
      </c>
      <c r="BR175">
        <v>1E-4</v>
      </c>
      <c r="BS175" t="s">
        <v>438</v>
      </c>
      <c r="BT175" t="s">
        <v>323</v>
      </c>
      <c r="BU175" t="s">
        <v>324</v>
      </c>
      <c r="BV175" t="s">
        <v>439</v>
      </c>
      <c r="BW175">
        <v>1E-4</v>
      </c>
      <c r="BX175" t="s">
        <v>440</v>
      </c>
      <c r="BY175" t="s">
        <v>345</v>
      </c>
      <c r="BZ175" t="s">
        <v>349</v>
      </c>
      <c r="CA175" t="s">
        <v>441</v>
      </c>
      <c r="CB175">
        <v>1E-4</v>
      </c>
      <c r="CC175" t="s">
        <v>8</v>
      </c>
      <c r="CD175"/>
      <c r="CE175"/>
      <c r="CF175" t="s">
        <v>8</v>
      </c>
      <c r="CG175"/>
      <c r="CH175"/>
      <c r="CI175" t="s">
        <v>8</v>
      </c>
      <c r="CJ175"/>
      <c r="CK175" t="s">
        <v>8</v>
      </c>
      <c r="CL175"/>
      <c r="CM175" t="s">
        <v>8</v>
      </c>
      <c r="CN175"/>
      <c r="CO175" t="s">
        <v>8</v>
      </c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 t="s">
        <v>8</v>
      </c>
      <c r="DD175"/>
      <c r="DE175"/>
      <c r="DF175"/>
      <c r="DG175"/>
      <c r="DH175"/>
      <c r="DI175"/>
      <c r="DJ175"/>
      <c r="DK175"/>
      <c r="DL175"/>
      <c r="DM175"/>
      <c r="DN175"/>
      <c r="DO175"/>
      <c r="DP175"/>
    </row>
    <row r="176" spans="1:120" s="6" customFormat="1">
      <c r="A176" t="str">
        <f>HYPERLINK(".\links\pep\TI-302-pep.txt","TI-302")</f>
        <v>TI-302</v>
      </c>
      <c r="B176">
        <v>302</v>
      </c>
      <c r="C176" t="s">
        <v>7</v>
      </c>
      <c r="D176">
        <v>67</v>
      </c>
      <c r="E176">
        <v>0</v>
      </c>
      <c r="F176" t="str">
        <f>HYPERLINK(".\links\cds\TI-302-cds.txt","TI-302")</f>
        <v>TI-302</v>
      </c>
      <c r="G176">
        <v>204</v>
      </c>
      <c r="H176"/>
      <c r="I176" t="s">
        <v>29</v>
      </c>
      <c r="J176" t="s">
        <v>6</v>
      </c>
      <c r="K176">
        <v>0</v>
      </c>
      <c r="L176">
        <v>1</v>
      </c>
      <c r="M176">
        <f t="shared" si="8"/>
        <v>-1</v>
      </c>
      <c r="N176">
        <f t="shared" si="9"/>
        <v>1</v>
      </c>
      <c r="O176" t="s">
        <v>1220</v>
      </c>
      <c r="P176" t="s">
        <v>1169</v>
      </c>
      <c r="Q176" t="str">
        <f>HYPERLINK(".\links\GO\TI-302-GO.txt","GO")</f>
        <v>GO</v>
      </c>
      <c r="R176" s="3">
        <v>6.0000000000000006E-20</v>
      </c>
      <c r="S176">
        <v>100</v>
      </c>
      <c r="T176" t="str">
        <f>HYPERLINK(".\links\NR-LIGHT\TI-302-NR-LIGHT.txt","mitochondrial ribosomal protein, L33")</f>
        <v>mitochondrial ribosomal protein, L33</v>
      </c>
      <c r="U176" t="str">
        <f>HYPERLINK("http://www.ncbi.nlm.nih.gov/sutils/blink.cgi?pid=170044531","1E-019")</f>
        <v>1E-019</v>
      </c>
      <c r="V176" t="str">
        <f>HYPERLINK("http://www.ncbi.nlm.nih.gov/protein/170044531","gi|170044531")</f>
        <v>gi|170044531</v>
      </c>
      <c r="W176">
        <v>97.1</v>
      </c>
      <c r="X176">
        <v>63</v>
      </c>
      <c r="Y176">
        <v>65</v>
      </c>
      <c r="Z176">
        <v>67</v>
      </c>
      <c r="AA176">
        <v>98</v>
      </c>
      <c r="AB176">
        <v>21</v>
      </c>
      <c r="AC176">
        <v>1</v>
      </c>
      <c r="AD176">
        <v>1</v>
      </c>
      <c r="AE176">
        <v>1</v>
      </c>
      <c r="AF176">
        <v>1</v>
      </c>
      <c r="AG176"/>
      <c r="AH176" t="s">
        <v>13</v>
      </c>
      <c r="AI176" t="s">
        <v>51</v>
      </c>
      <c r="AJ176" t="s">
        <v>263</v>
      </c>
      <c r="AK176" t="str">
        <f>HYPERLINK(".\links\SWISSP\TI-302-SWISSP.txt","39S ribosomal protein L33, mitochondrial OS=Drosophila melanogaster GN=mRpL33")</f>
        <v>39S ribosomal protein L33, mitochondrial OS=Drosophila melanogaster GN=mRpL33</v>
      </c>
      <c r="AL176" t="str">
        <f>HYPERLINK("http://www.uniprot.org/uniprot/Q9W4L1","3E-019")</f>
        <v>3E-019</v>
      </c>
      <c r="AM176" t="s">
        <v>182</v>
      </c>
      <c r="AN176">
        <v>93.6</v>
      </c>
      <c r="AO176">
        <v>62</v>
      </c>
      <c r="AP176">
        <v>64</v>
      </c>
      <c r="AQ176">
        <v>70</v>
      </c>
      <c r="AR176">
        <v>98</v>
      </c>
      <c r="AS176">
        <v>19</v>
      </c>
      <c r="AT176">
        <v>1</v>
      </c>
      <c r="AU176">
        <v>1</v>
      </c>
      <c r="AV176">
        <v>1</v>
      </c>
      <c r="AW176">
        <v>1</v>
      </c>
      <c r="AX176" t="s">
        <v>52</v>
      </c>
      <c r="AY176" t="s">
        <v>8</v>
      </c>
      <c r="AZ176"/>
      <c r="BA176"/>
      <c r="BB176"/>
      <c r="BC176"/>
      <c r="BD176"/>
      <c r="BE176"/>
      <c r="BF176"/>
      <c r="BG176"/>
      <c r="BH176"/>
      <c r="BI176"/>
      <c r="BJ176"/>
      <c r="BK176"/>
      <c r="BL176" t="s">
        <v>780</v>
      </c>
      <c r="BM176">
        <f>HYPERLINK(".\links\GO\TI-302-GO.txt",6E-20)</f>
        <v>6.0000000000000006E-20</v>
      </c>
      <c r="BN176" t="s">
        <v>329</v>
      </c>
      <c r="BO176" t="s">
        <v>330</v>
      </c>
      <c r="BP176" t="s">
        <v>331</v>
      </c>
      <c r="BQ176" t="s">
        <v>332</v>
      </c>
      <c r="BR176" s="3">
        <v>6.0000000000000006E-20</v>
      </c>
      <c r="BS176" t="s">
        <v>781</v>
      </c>
      <c r="BT176" t="s">
        <v>782</v>
      </c>
      <c r="BU176" t="s">
        <v>783</v>
      </c>
      <c r="BV176" t="s">
        <v>784</v>
      </c>
      <c r="BW176" s="3">
        <v>6.0000000000000006E-20</v>
      </c>
      <c r="BX176" t="s">
        <v>336</v>
      </c>
      <c r="BY176" t="s">
        <v>330</v>
      </c>
      <c r="BZ176" t="s">
        <v>331</v>
      </c>
      <c r="CA176" t="s">
        <v>337</v>
      </c>
      <c r="CB176" s="3">
        <v>6.0000000000000006E-20</v>
      </c>
      <c r="CC176" t="s">
        <v>8</v>
      </c>
      <c r="CD176"/>
      <c r="CE176"/>
      <c r="CF176" t="s">
        <v>8</v>
      </c>
      <c r="CG176"/>
      <c r="CH176"/>
      <c r="CI176" t="s">
        <v>8</v>
      </c>
      <c r="CJ176"/>
      <c r="CK176" t="s">
        <v>8</v>
      </c>
      <c r="CL176"/>
      <c r="CM176" t="s">
        <v>8</v>
      </c>
      <c r="CN176"/>
      <c r="CO176" t="s">
        <v>8</v>
      </c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 t="s">
        <v>8</v>
      </c>
      <c r="DD176"/>
      <c r="DE176"/>
      <c r="DF176"/>
      <c r="DG176"/>
      <c r="DH176"/>
      <c r="DI176"/>
      <c r="DJ176"/>
      <c r="DK176"/>
      <c r="DL176"/>
      <c r="DM176"/>
      <c r="DN176"/>
      <c r="DO176"/>
      <c r="DP176"/>
    </row>
    <row r="177" spans="1:120" s="6" customFormat="1">
      <c r="A177" s="6" t="str">
        <f>HYPERLINK(".\links\pep\TI-303-pep.txt","TI-303")</f>
        <v>TI-303</v>
      </c>
      <c r="B177" s="6">
        <v>303</v>
      </c>
      <c r="C177" s="6" t="s">
        <v>23</v>
      </c>
      <c r="D177" s="6">
        <v>21</v>
      </c>
      <c r="E177" s="6">
        <v>0</v>
      </c>
      <c r="F177" s="6" t="str">
        <f>HYPERLINK(".\links\cds\TI-303-cds.txt","TI-303")</f>
        <v>TI-303</v>
      </c>
      <c r="G177" s="6">
        <v>66</v>
      </c>
      <c r="I177" s="6" t="s">
        <v>8</v>
      </c>
      <c r="J177" s="6" t="s">
        <v>6</v>
      </c>
      <c r="K177" s="6">
        <v>0</v>
      </c>
      <c r="L177" s="6">
        <v>1</v>
      </c>
      <c r="M177" s="6">
        <f t="shared" si="8"/>
        <v>-1</v>
      </c>
      <c r="N177" s="6">
        <f t="shared" si="9"/>
        <v>1</v>
      </c>
      <c r="O177" s="6" t="s">
        <v>1170</v>
      </c>
      <c r="P177" s="6" t="s">
        <v>1171</v>
      </c>
      <c r="T177" s="6" t="s">
        <v>8</v>
      </c>
      <c r="AK177" s="6" t="s">
        <v>8</v>
      </c>
      <c r="AY177" s="6" t="s">
        <v>8</v>
      </c>
      <c r="BL177" s="6" t="s">
        <v>8</v>
      </c>
      <c r="CC177" s="6" t="s">
        <v>8</v>
      </c>
      <c r="CF177" s="6" t="s">
        <v>8</v>
      </c>
      <c r="CI177" s="6" t="s">
        <v>8</v>
      </c>
      <c r="CK177" s="6" t="s">
        <v>8</v>
      </c>
      <c r="CM177" s="6" t="s">
        <v>8</v>
      </c>
      <c r="CO177" s="6" t="s">
        <v>8</v>
      </c>
      <c r="DC177" s="6" t="s">
        <v>8</v>
      </c>
    </row>
    <row r="178" spans="1:120" s="6" customFormat="1">
      <c r="A178" t="str">
        <f>HYPERLINK(".\links\pep\TI-304-pep.txt","TI-304")</f>
        <v>TI-304</v>
      </c>
      <c r="B178">
        <v>304</v>
      </c>
      <c r="C178" t="s">
        <v>10</v>
      </c>
      <c r="D178">
        <v>77</v>
      </c>
      <c r="E178">
        <v>0</v>
      </c>
      <c r="F178" t="str">
        <f>HYPERLINK(".\links\cds\TI-304-cds.txt","TI-304")</f>
        <v>TI-304</v>
      </c>
      <c r="G178">
        <v>234</v>
      </c>
      <c r="H178"/>
      <c r="I178" t="s">
        <v>8</v>
      </c>
      <c r="J178" t="s">
        <v>6</v>
      </c>
      <c r="K178">
        <v>0</v>
      </c>
      <c r="L178">
        <v>1</v>
      </c>
      <c r="M178">
        <f t="shared" si="8"/>
        <v>-1</v>
      </c>
      <c r="N178">
        <f t="shared" si="9"/>
        <v>1</v>
      </c>
      <c r="O178" t="s">
        <v>1221</v>
      </c>
      <c r="P178" t="s">
        <v>1169</v>
      </c>
      <c r="Q178" t="str">
        <f>HYPERLINK(".\links\NR-LIGHT\TI-304-NR-LIGHT.txt","NR-LIGHT")</f>
        <v>NR-LIGHT</v>
      </c>
      <c r="R178" s="3">
        <v>3.0000000000000001E-26</v>
      </c>
      <c r="S178">
        <v>40.200000000000003</v>
      </c>
      <c r="T178" t="str">
        <f>HYPERLINK(".\links\NR-LIGHT\TI-304-NR-LIGHT.txt","60S ribosomal protein L26")</f>
        <v>60S ribosomal protein L26</v>
      </c>
      <c r="U178" t="str">
        <f>HYPERLINK("http://www.ncbi.nlm.nih.gov/sutils/blink.cgi?pid=149689146","3E-026")</f>
        <v>3E-026</v>
      </c>
      <c r="V178" t="str">
        <f>HYPERLINK("http://www.ncbi.nlm.nih.gov/protein/149689146","gi|149689146")</f>
        <v>gi|149689146</v>
      </c>
      <c r="W178">
        <v>119</v>
      </c>
      <c r="X178">
        <v>59</v>
      </c>
      <c r="Y178">
        <v>149</v>
      </c>
      <c r="Z178">
        <v>95</v>
      </c>
      <c r="AA178">
        <v>40</v>
      </c>
      <c r="AB178">
        <v>3</v>
      </c>
      <c r="AC178">
        <v>0</v>
      </c>
      <c r="AD178">
        <v>6</v>
      </c>
      <c r="AE178">
        <v>18</v>
      </c>
      <c r="AF178">
        <v>1</v>
      </c>
      <c r="AG178"/>
      <c r="AH178" t="s">
        <v>13</v>
      </c>
      <c r="AI178" t="s">
        <v>51</v>
      </c>
      <c r="AJ178" t="s">
        <v>273</v>
      </c>
      <c r="AK178" t="str">
        <f>HYPERLINK(".\links\SWISSP\TI-304-SWISSP.txt","60S ribosomal protein L26 OS=Rattus norvegicus GN=Rpl26 PE=1 SV=1")</f>
        <v>60S ribosomal protein L26 OS=Rattus norvegicus GN=Rpl26 PE=1 SV=1</v>
      </c>
      <c r="AL178" t="str">
        <f>HYPERLINK("http://www.uniprot.org/uniprot/P12749","5E-023")</f>
        <v>5E-023</v>
      </c>
      <c r="AM178" t="s">
        <v>183</v>
      </c>
      <c r="AN178">
        <v>106</v>
      </c>
      <c r="AO178">
        <v>59</v>
      </c>
      <c r="AP178">
        <v>145</v>
      </c>
      <c r="AQ178">
        <v>80</v>
      </c>
      <c r="AR178">
        <v>41</v>
      </c>
      <c r="AS178">
        <v>12</v>
      </c>
      <c r="AT178">
        <v>0</v>
      </c>
      <c r="AU178">
        <v>6</v>
      </c>
      <c r="AV178">
        <v>18</v>
      </c>
      <c r="AW178">
        <v>1</v>
      </c>
      <c r="AX178" t="s">
        <v>74</v>
      </c>
      <c r="AY178" t="str">
        <f>HYPERLINK(".\links\PREV-RHOD-PEP\TI-304-PREV-RHOD-PEP.txt","Contig17918_17")</f>
        <v>Contig17918_17</v>
      </c>
      <c r="AZ178" s="3">
        <v>3.9999999999999999E-28</v>
      </c>
      <c r="BA178" t="s">
        <v>1103</v>
      </c>
      <c r="BB178">
        <v>119</v>
      </c>
      <c r="BC178">
        <v>59</v>
      </c>
      <c r="BD178">
        <v>149</v>
      </c>
      <c r="BE178">
        <v>95</v>
      </c>
      <c r="BF178">
        <v>40</v>
      </c>
      <c r="BG178">
        <v>3</v>
      </c>
      <c r="BH178">
        <v>0</v>
      </c>
      <c r="BI178">
        <v>6</v>
      </c>
      <c r="BJ178">
        <v>18</v>
      </c>
      <c r="BK178">
        <v>1</v>
      </c>
      <c r="BL178" t="s">
        <v>785</v>
      </c>
      <c r="BM178">
        <f>HYPERLINK(".\links\GO\TI-304-GO.txt",8E-24)</f>
        <v>7.9999999999999994E-24</v>
      </c>
      <c r="BN178" t="s">
        <v>329</v>
      </c>
      <c r="BO178" t="s">
        <v>330</v>
      </c>
      <c r="BP178" t="s">
        <v>331</v>
      </c>
      <c r="BQ178" t="s">
        <v>332</v>
      </c>
      <c r="BR178" s="3">
        <v>7.9999999999999994E-24</v>
      </c>
      <c r="BS178" t="s">
        <v>333</v>
      </c>
      <c r="BT178" t="s">
        <v>323</v>
      </c>
      <c r="BU178" t="s">
        <v>334</v>
      </c>
      <c r="BV178" t="s">
        <v>335</v>
      </c>
      <c r="BW178" s="3">
        <v>7.9999999999999994E-24</v>
      </c>
      <c r="BX178" t="s">
        <v>336</v>
      </c>
      <c r="BY178" t="s">
        <v>330</v>
      </c>
      <c r="BZ178" t="s">
        <v>331</v>
      </c>
      <c r="CA178" t="s">
        <v>337</v>
      </c>
      <c r="CB178" s="3">
        <v>7.9999999999999994E-24</v>
      </c>
      <c r="CC178" t="s">
        <v>8</v>
      </c>
      <c r="CD178"/>
      <c r="CE178"/>
      <c r="CF178" t="s">
        <v>8</v>
      </c>
      <c r="CG178"/>
      <c r="CH178"/>
      <c r="CI178" t="s">
        <v>8</v>
      </c>
      <c r="CJ178"/>
      <c r="CK178" t="s">
        <v>8</v>
      </c>
      <c r="CL178"/>
      <c r="CM178" t="s">
        <v>8</v>
      </c>
      <c r="CN178"/>
      <c r="CO178" t="s">
        <v>8</v>
      </c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 t="s">
        <v>8</v>
      </c>
      <c r="DD178"/>
      <c r="DE178"/>
      <c r="DF178"/>
      <c r="DG178"/>
      <c r="DH178"/>
      <c r="DI178"/>
      <c r="DJ178"/>
      <c r="DK178"/>
      <c r="DL178"/>
      <c r="DM178"/>
      <c r="DN178"/>
      <c r="DO178"/>
      <c r="DP178"/>
    </row>
    <row r="179" spans="1:120" s="6" customFormat="1">
      <c r="A179" s="6" t="str">
        <f>HYPERLINK(".\links\pep\TI-308-pep.txt","TI-308")</f>
        <v>TI-308</v>
      </c>
      <c r="B179" s="6">
        <v>308</v>
      </c>
      <c r="C179" s="6" t="s">
        <v>24</v>
      </c>
      <c r="D179" s="6">
        <v>242</v>
      </c>
      <c r="E179" s="6">
        <v>0</v>
      </c>
      <c r="F179" s="6" t="str">
        <f>HYPERLINK(".\links\cds\TI-308-cds.txt","TI-308")</f>
        <v>TI-308</v>
      </c>
      <c r="G179" s="6">
        <v>724</v>
      </c>
      <c r="I179" s="6" t="s">
        <v>8</v>
      </c>
      <c r="J179" s="6" t="s">
        <v>6</v>
      </c>
      <c r="K179" s="6">
        <v>0</v>
      </c>
      <c r="L179" s="6">
        <v>1</v>
      </c>
      <c r="M179" s="6">
        <f t="shared" ref="M179:M204" si="10">K179-L179</f>
        <v>-1</v>
      </c>
      <c r="N179" s="6">
        <f t="shared" ref="N179:N204" si="11">ABS(K179-L179)</f>
        <v>1</v>
      </c>
      <c r="O179" s="6" t="s">
        <v>1170</v>
      </c>
      <c r="P179" s="6" t="s">
        <v>1171</v>
      </c>
      <c r="T179" s="6" t="str">
        <f>HYPERLINK(".\links\NR-LIGHT\TI-308-NR-LIGHT.txt","1-phosphatidylinositol-4-phosphate 5-kinase")</f>
        <v>1-phosphatidylinositol-4-phosphate 5-kinase</v>
      </c>
      <c r="U179" s="6" t="str">
        <f>HYPERLINK("http://www.ncbi.nlm.nih.gov/sutils/blink.cgi?pid=22329482","0.13")</f>
        <v>0.13</v>
      </c>
      <c r="V179" s="6" t="str">
        <f>HYPERLINK("http://www.ncbi.nlm.nih.gov/protein/22329482","gi|22329482")</f>
        <v>gi|22329482</v>
      </c>
      <c r="W179" s="6">
        <v>39.299999999999997</v>
      </c>
      <c r="X179" s="6">
        <v>58</v>
      </c>
      <c r="Y179" s="6">
        <v>754</v>
      </c>
      <c r="Z179" s="6">
        <v>40</v>
      </c>
      <c r="AA179" s="6">
        <v>8</v>
      </c>
      <c r="AB179" s="6">
        <v>35</v>
      </c>
      <c r="AC179" s="6">
        <v>9</v>
      </c>
      <c r="AD179" s="6">
        <v>512</v>
      </c>
      <c r="AE179" s="6">
        <v>93</v>
      </c>
      <c r="AF179" s="6">
        <v>1</v>
      </c>
      <c r="AH179" s="6" t="s">
        <v>13</v>
      </c>
      <c r="AI179" s="6" t="s">
        <v>51</v>
      </c>
      <c r="AJ179" s="6" t="s">
        <v>291</v>
      </c>
      <c r="AK179" s="6" t="s">
        <v>8</v>
      </c>
      <c r="AY179" s="6" t="s">
        <v>8</v>
      </c>
      <c r="BL179" s="6" t="s">
        <v>8</v>
      </c>
      <c r="CC179" s="6" t="s">
        <v>8</v>
      </c>
      <c r="CF179" s="6" t="s">
        <v>8</v>
      </c>
      <c r="CI179" s="6" t="s">
        <v>8</v>
      </c>
      <c r="CK179" s="6" t="s">
        <v>8</v>
      </c>
      <c r="CM179" s="6" t="s">
        <v>8</v>
      </c>
      <c r="CO179" s="6" t="s">
        <v>8</v>
      </c>
      <c r="DC179" s="6" t="s">
        <v>8</v>
      </c>
    </row>
    <row r="180" spans="1:120" s="6" customFormat="1">
      <c r="A180" s="6" t="str">
        <f>HYPERLINK(".\links\pep\TI-309-pep.txt","TI-309")</f>
        <v>TI-309</v>
      </c>
      <c r="B180" s="6">
        <v>309</v>
      </c>
      <c r="C180" s="6" t="s">
        <v>28</v>
      </c>
      <c r="D180" s="6">
        <v>28</v>
      </c>
      <c r="E180" s="7">
        <v>89.285709999999995</v>
      </c>
      <c r="F180" s="6" t="str">
        <f>HYPERLINK(".\links\cds\TI-309-cds.txt","TI-309")</f>
        <v>TI-309</v>
      </c>
      <c r="G180" s="6">
        <v>74</v>
      </c>
      <c r="H180" s="6" t="s">
        <v>24</v>
      </c>
      <c r="I180" s="6" t="s">
        <v>8</v>
      </c>
      <c r="J180" s="6" t="s">
        <v>8</v>
      </c>
      <c r="K180" s="6">
        <v>0</v>
      </c>
      <c r="L180" s="6">
        <v>1</v>
      </c>
      <c r="M180" s="6">
        <f t="shared" si="10"/>
        <v>-1</v>
      </c>
      <c r="N180" s="6">
        <f t="shared" si="11"/>
        <v>1</v>
      </c>
      <c r="O180" s="6" t="s">
        <v>1170</v>
      </c>
      <c r="P180" s="6" t="s">
        <v>1171</v>
      </c>
      <c r="T180" s="6" t="s">
        <v>8</v>
      </c>
      <c r="AK180" s="6" t="s">
        <v>8</v>
      </c>
      <c r="AY180" s="6" t="s">
        <v>8</v>
      </c>
      <c r="BL180" s="6" t="s">
        <v>8</v>
      </c>
      <c r="CC180" s="6" t="s">
        <v>8</v>
      </c>
      <c r="CF180" s="6" t="s">
        <v>8</v>
      </c>
      <c r="CI180" s="6" t="s">
        <v>8</v>
      </c>
      <c r="CK180" s="6" t="s">
        <v>8</v>
      </c>
      <c r="CM180" s="6" t="s">
        <v>8</v>
      </c>
      <c r="CO180" s="6" t="s">
        <v>8</v>
      </c>
      <c r="DC180" s="6" t="s">
        <v>8</v>
      </c>
    </row>
    <row r="181" spans="1:120" s="6" customFormat="1">
      <c r="A181" s="6" t="str">
        <f>HYPERLINK(".\links\pep\TI-310-pep.txt","TI-310")</f>
        <v>TI-310</v>
      </c>
      <c r="B181" s="6">
        <v>310</v>
      </c>
      <c r="C181" s="6" t="s">
        <v>17</v>
      </c>
      <c r="D181" s="6">
        <v>153</v>
      </c>
      <c r="E181" s="6">
        <v>0</v>
      </c>
      <c r="F181" s="6" t="str">
        <f>HYPERLINK(".\links\cds\TI-310-cds.txt","TI-310")</f>
        <v>TI-310</v>
      </c>
      <c r="G181" s="6">
        <v>462</v>
      </c>
      <c r="I181" s="6" t="s">
        <v>8</v>
      </c>
      <c r="J181" s="6" t="s">
        <v>6</v>
      </c>
      <c r="K181" s="6">
        <v>0</v>
      </c>
      <c r="L181" s="6">
        <v>1</v>
      </c>
      <c r="M181" s="6">
        <f t="shared" si="10"/>
        <v>-1</v>
      </c>
      <c r="N181" s="6">
        <f t="shared" si="11"/>
        <v>1</v>
      </c>
      <c r="O181" s="6" t="s">
        <v>1170</v>
      </c>
      <c r="P181" s="6" t="s">
        <v>1171</v>
      </c>
      <c r="T181" s="6" t="str">
        <f>HYPERLINK(".\links\NR-LIGHT\TI-310-NR-LIGHT.txt","similar to phenylalanine hydroxylase")</f>
        <v>similar to phenylalanine hydroxylase</v>
      </c>
      <c r="U181" s="6" t="str">
        <f>HYPERLINK("http://www.ncbi.nlm.nih.gov/sutils/blink.cgi?pid=198437597","0.54")</f>
        <v>0.54</v>
      </c>
      <c r="V181" s="6" t="str">
        <f>HYPERLINK("http://www.ncbi.nlm.nih.gov/protein/198437597","gi|198437597")</f>
        <v>gi|198437597</v>
      </c>
      <c r="W181" s="6">
        <v>35.4</v>
      </c>
      <c r="X181" s="6">
        <v>80</v>
      </c>
      <c r="Y181" s="6">
        <v>451</v>
      </c>
      <c r="Z181" s="6">
        <v>27</v>
      </c>
      <c r="AA181" s="6">
        <v>18</v>
      </c>
      <c r="AB181" s="6">
        <v>67</v>
      </c>
      <c r="AC181" s="6">
        <v>18</v>
      </c>
      <c r="AD181" s="6">
        <v>68</v>
      </c>
      <c r="AE181" s="6">
        <v>15</v>
      </c>
      <c r="AF181" s="6">
        <v>1</v>
      </c>
      <c r="AH181" s="6" t="s">
        <v>13</v>
      </c>
      <c r="AI181" s="6" t="s">
        <v>51</v>
      </c>
      <c r="AJ181" s="6" t="s">
        <v>287</v>
      </c>
      <c r="AK181" s="6" t="s">
        <v>8</v>
      </c>
      <c r="AY181" s="6" t="str">
        <f>HYPERLINK(".\links\PREV-RHOD-PEP\TI-310-PREV-RHOD-PEP.txt","Contig17969_105")</f>
        <v>Contig17969_105</v>
      </c>
      <c r="AZ181" s="8">
        <v>8.0000000000000004E-33</v>
      </c>
      <c r="BA181" s="6" t="s">
        <v>1104</v>
      </c>
      <c r="BB181" s="6">
        <v>135</v>
      </c>
      <c r="BC181" s="6">
        <v>128</v>
      </c>
      <c r="BD181" s="6">
        <v>354</v>
      </c>
      <c r="BE181" s="6">
        <v>55</v>
      </c>
      <c r="BF181" s="6">
        <v>36</v>
      </c>
      <c r="BG181" s="6">
        <v>57</v>
      </c>
      <c r="BH181" s="6">
        <v>0</v>
      </c>
      <c r="BI181" s="6">
        <v>224</v>
      </c>
      <c r="BJ181" s="6">
        <v>25</v>
      </c>
      <c r="BK181" s="6">
        <v>1</v>
      </c>
      <c r="BL181" s="6" t="s">
        <v>8</v>
      </c>
      <c r="CC181" s="6" t="s">
        <v>8</v>
      </c>
      <c r="CF181" s="6" t="s">
        <v>8</v>
      </c>
      <c r="CI181" s="6" t="s">
        <v>8</v>
      </c>
      <c r="CK181" s="6" t="s">
        <v>8</v>
      </c>
      <c r="CM181" s="6" t="s">
        <v>8</v>
      </c>
      <c r="CO181" s="6" t="s">
        <v>8</v>
      </c>
      <c r="DC181" s="6" t="s">
        <v>8</v>
      </c>
    </row>
    <row r="182" spans="1:120" s="6" customFormat="1">
      <c r="A182" t="str">
        <f>HYPERLINK(".\links\pep\TI-311-pep.txt","TI-311")</f>
        <v>TI-311</v>
      </c>
      <c r="B182">
        <v>311</v>
      </c>
      <c r="C182" t="s">
        <v>7</v>
      </c>
      <c r="D182">
        <v>155</v>
      </c>
      <c r="E182">
        <v>0</v>
      </c>
      <c r="F182" t="str">
        <f>HYPERLINK(".\links\cds\TI-311-cds.txt","TI-311")</f>
        <v>TI-311</v>
      </c>
      <c r="G182">
        <v>463</v>
      </c>
      <c r="H182"/>
      <c r="I182" t="s">
        <v>29</v>
      </c>
      <c r="J182" t="s">
        <v>8</v>
      </c>
      <c r="K182">
        <v>1</v>
      </c>
      <c r="L182">
        <v>0</v>
      </c>
      <c r="M182">
        <f t="shared" si="10"/>
        <v>1</v>
      </c>
      <c r="N182">
        <f t="shared" si="11"/>
        <v>1</v>
      </c>
      <c r="O182" t="s">
        <v>1311</v>
      </c>
      <c r="P182" t="s">
        <v>1295</v>
      </c>
      <c r="Q182" t="str">
        <f>HYPERLINK(".\links\GO\TI-311-GO.txt","GO")</f>
        <v>GO</v>
      </c>
      <c r="R182" s="3">
        <v>3.0000000000000001E-71</v>
      </c>
      <c r="S182">
        <v>67.8</v>
      </c>
      <c r="T182" t="str">
        <f>HYPERLINK(".\links\NR-LIGHT\TI-311-NR-LIGHT.txt","cyclophilin-like protein")</f>
        <v>cyclophilin-like protein</v>
      </c>
      <c r="U182" t="str">
        <f>HYPERLINK("http://www.ncbi.nlm.nih.gov/sutils/blink.cgi?pid=157361501","2E-072")</f>
        <v>2E-072</v>
      </c>
      <c r="V182" t="str">
        <f>HYPERLINK("http://www.ncbi.nlm.nih.gov/protein/157361501","gi|157361501")</f>
        <v>gi|157361501</v>
      </c>
      <c r="W182">
        <v>273</v>
      </c>
      <c r="X182">
        <v>153</v>
      </c>
      <c r="Y182">
        <v>165</v>
      </c>
      <c r="Z182">
        <v>84</v>
      </c>
      <c r="AA182">
        <v>93</v>
      </c>
      <c r="AB182">
        <v>24</v>
      </c>
      <c r="AC182">
        <v>1</v>
      </c>
      <c r="AD182">
        <v>1</v>
      </c>
      <c r="AE182">
        <v>1</v>
      </c>
      <c r="AF182">
        <v>1</v>
      </c>
      <c r="AG182"/>
      <c r="AH182" t="s">
        <v>13</v>
      </c>
      <c r="AI182" t="s">
        <v>51</v>
      </c>
      <c r="AJ182" t="s">
        <v>292</v>
      </c>
      <c r="AK182" t="str">
        <f>HYPERLINK(".\links\SWISSP\TI-311-SWISSP.txt","Peptidyl-prolyl cis-trans isomerase OS=Blattella germanica GN=CYPA PE=2 SV=1")</f>
        <v>Peptidyl-prolyl cis-trans isomerase OS=Blattella germanica GN=CYPA PE=2 SV=1</v>
      </c>
      <c r="AL182" t="str">
        <f>HYPERLINK("http://www.uniprot.org/uniprot/P54985","3E-073")</f>
        <v>3E-073</v>
      </c>
      <c r="AM182" t="s">
        <v>184</v>
      </c>
      <c r="AN182">
        <v>273</v>
      </c>
      <c r="AO182">
        <v>153</v>
      </c>
      <c r="AP182">
        <v>164</v>
      </c>
      <c r="AQ182">
        <v>84</v>
      </c>
      <c r="AR182">
        <v>94</v>
      </c>
      <c r="AS182">
        <v>24</v>
      </c>
      <c r="AT182">
        <v>1</v>
      </c>
      <c r="AU182">
        <v>1</v>
      </c>
      <c r="AV182">
        <v>1</v>
      </c>
      <c r="AW182">
        <v>1</v>
      </c>
      <c r="AX182" t="s">
        <v>185</v>
      </c>
      <c r="AY182" t="str">
        <f>HYPERLINK(".\links\PREV-RHOD-PEP\TI-311-PREV-RHOD-PEP.txt","Contig17847_100")</f>
        <v>Contig17847_100</v>
      </c>
      <c r="AZ182" s="3">
        <v>9.9999999999999997E-73</v>
      </c>
      <c r="BA182" t="s">
        <v>1105</v>
      </c>
      <c r="BB182">
        <v>267</v>
      </c>
      <c r="BC182">
        <v>162</v>
      </c>
      <c r="BD182">
        <v>173</v>
      </c>
      <c r="BE182">
        <v>79</v>
      </c>
      <c r="BF182">
        <v>94</v>
      </c>
      <c r="BG182">
        <v>35</v>
      </c>
      <c r="BH182">
        <v>24</v>
      </c>
      <c r="BI182">
        <v>1</v>
      </c>
      <c r="BJ182">
        <v>1</v>
      </c>
      <c r="BK182">
        <v>1</v>
      </c>
      <c r="BL182" t="s">
        <v>786</v>
      </c>
      <c r="BM182">
        <f>HYPERLINK(".\links\GO\TI-311-GO.txt",3E-71)</f>
        <v>3.0000000000000001E-71</v>
      </c>
      <c r="BN182" t="s">
        <v>787</v>
      </c>
      <c r="BO182" t="s">
        <v>345</v>
      </c>
      <c r="BP182" t="s">
        <v>788</v>
      </c>
      <c r="BQ182" t="s">
        <v>789</v>
      </c>
      <c r="BR182" s="3">
        <v>3.0000000000000001E-71</v>
      </c>
      <c r="BS182" t="s">
        <v>431</v>
      </c>
      <c r="BT182" t="s">
        <v>323</v>
      </c>
      <c r="BU182" t="s">
        <v>334</v>
      </c>
      <c r="BV182" t="s">
        <v>432</v>
      </c>
      <c r="BW182" s="3">
        <v>3.0000000000000001E-71</v>
      </c>
      <c r="BX182" t="s">
        <v>766</v>
      </c>
      <c r="BY182" t="s">
        <v>345</v>
      </c>
      <c r="BZ182" t="s">
        <v>788</v>
      </c>
      <c r="CA182" t="s">
        <v>767</v>
      </c>
      <c r="CB182" s="3">
        <v>3.0000000000000001E-71</v>
      </c>
      <c r="CC182" t="s">
        <v>8</v>
      </c>
      <c r="CD182"/>
      <c r="CE182"/>
      <c r="CF182" t="s">
        <v>8</v>
      </c>
      <c r="CG182"/>
      <c r="CH182"/>
      <c r="CI182" t="s">
        <v>8</v>
      </c>
      <c r="CJ182"/>
      <c r="CK182" t="s">
        <v>8</v>
      </c>
      <c r="CL182"/>
      <c r="CM182" t="s">
        <v>8</v>
      </c>
      <c r="CN182"/>
      <c r="CO182" t="s">
        <v>8</v>
      </c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 t="s">
        <v>8</v>
      </c>
      <c r="DD182"/>
      <c r="DE182"/>
      <c r="DF182"/>
      <c r="DG182"/>
      <c r="DH182"/>
      <c r="DI182"/>
      <c r="DJ182"/>
      <c r="DK182"/>
      <c r="DL182"/>
      <c r="DM182"/>
      <c r="DN182"/>
      <c r="DO182"/>
      <c r="DP182"/>
    </row>
    <row r="183" spans="1:120" s="6" customFormat="1">
      <c r="A183" t="str">
        <f>HYPERLINK(".\links\pep\TI-312-pep.txt","TI-312")</f>
        <v>TI-312</v>
      </c>
      <c r="B183">
        <v>312</v>
      </c>
      <c r="C183" t="s">
        <v>16</v>
      </c>
      <c r="D183">
        <v>60</v>
      </c>
      <c r="E183">
        <v>0</v>
      </c>
      <c r="F183" t="str">
        <f>HYPERLINK(".\links\cds\TI-312-cds.txt","TI-312")</f>
        <v>TI-312</v>
      </c>
      <c r="G183">
        <v>183</v>
      </c>
      <c r="H183"/>
      <c r="I183" t="s">
        <v>8</v>
      </c>
      <c r="J183" t="s">
        <v>6</v>
      </c>
      <c r="K183">
        <v>1</v>
      </c>
      <c r="L183">
        <v>0</v>
      </c>
      <c r="M183">
        <f t="shared" si="10"/>
        <v>1</v>
      </c>
      <c r="N183">
        <f t="shared" si="11"/>
        <v>1</v>
      </c>
      <c r="O183" t="s">
        <v>1312</v>
      </c>
      <c r="P183" t="s">
        <v>1185</v>
      </c>
      <c r="Q183" t="str">
        <f>HYPERLINK(".\links\SWISSP\TI-312-SWISSP.txt","SWISSP")</f>
        <v>SWISSP</v>
      </c>
      <c r="R183">
        <v>5.9999999999999995E-8</v>
      </c>
      <c r="S183">
        <v>26.6</v>
      </c>
      <c r="T183" t="str">
        <f>HYPERLINK(".\links\NR-LIGHT\TI-312-NR-LIGHT.txt","cytochrome c oxidase subunit II")</f>
        <v>cytochrome c oxidase subunit II</v>
      </c>
      <c r="U183" t="str">
        <f>HYPERLINK("http://www.ncbi.nlm.nih.gov/sutils/blink.cgi?pid=49619215","3E-007")</f>
        <v>3E-007</v>
      </c>
      <c r="V183" t="str">
        <f>HYPERLINK("http://www.ncbi.nlm.nih.gov/protein/49619215","gi|49619215")</f>
        <v>gi|49619215</v>
      </c>
      <c r="W183">
        <v>56.2</v>
      </c>
      <c r="X183">
        <v>59</v>
      </c>
      <c r="Y183">
        <v>224</v>
      </c>
      <c r="Z183">
        <v>50</v>
      </c>
      <c r="AA183">
        <v>27</v>
      </c>
      <c r="AB183">
        <v>30</v>
      </c>
      <c r="AC183">
        <v>0</v>
      </c>
      <c r="AD183">
        <v>5</v>
      </c>
      <c r="AE183">
        <v>1</v>
      </c>
      <c r="AF183">
        <v>1</v>
      </c>
      <c r="AG183"/>
      <c r="AH183" t="s">
        <v>13</v>
      </c>
      <c r="AI183" t="s">
        <v>51</v>
      </c>
      <c r="AJ183" t="s">
        <v>293</v>
      </c>
      <c r="AK183" t="str">
        <f>HYPERLINK(".\links\SWISSP\TI-312-SWISSP.txt","Cytochrome c oxidase subunit 2 OS=Rhipicephalus sanguineus GN=COII PE=3 SV=1")</f>
        <v>Cytochrome c oxidase subunit 2 OS=Rhipicephalus sanguineus GN=COII PE=3 SV=1</v>
      </c>
      <c r="AL183" t="str">
        <f>HYPERLINK("http://www.uniprot.org/uniprot/O99819","6E-008")</f>
        <v>6E-008</v>
      </c>
      <c r="AM183" t="s">
        <v>186</v>
      </c>
      <c r="AN183">
        <v>55.8</v>
      </c>
      <c r="AO183">
        <v>59</v>
      </c>
      <c r="AP183">
        <v>225</v>
      </c>
      <c r="AQ183">
        <v>48</v>
      </c>
      <c r="AR183">
        <v>27</v>
      </c>
      <c r="AS183">
        <v>31</v>
      </c>
      <c r="AT183">
        <v>0</v>
      </c>
      <c r="AU183">
        <v>5</v>
      </c>
      <c r="AV183">
        <v>1</v>
      </c>
      <c r="AW183">
        <v>1</v>
      </c>
      <c r="AX183" t="s">
        <v>187</v>
      </c>
      <c r="AY183" t="s">
        <v>8</v>
      </c>
      <c r="AZ183"/>
      <c r="BA183"/>
      <c r="BB183"/>
      <c r="BC183"/>
      <c r="BD183"/>
      <c r="BE183"/>
      <c r="BF183"/>
      <c r="BG183"/>
      <c r="BH183"/>
      <c r="BI183"/>
      <c r="BJ183"/>
      <c r="BK183"/>
      <c r="BL183" t="s">
        <v>8</v>
      </c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 t="s">
        <v>8</v>
      </c>
      <c r="CD183"/>
      <c r="CE183"/>
      <c r="CF183" t="s">
        <v>8</v>
      </c>
      <c r="CG183"/>
      <c r="CH183"/>
      <c r="CI183" t="s">
        <v>8</v>
      </c>
      <c r="CJ183"/>
      <c r="CK183" t="s">
        <v>8</v>
      </c>
      <c r="CL183"/>
      <c r="CM183" t="s">
        <v>8</v>
      </c>
      <c r="CN183"/>
      <c r="CO183" t="str">
        <f>HYPERLINK(".\links\MIT-PLA\TI-312-MIT-PLA.txt","Amblyomma americanum cytochrome oxidase subunit 2 (cox2) mRNA, partial cds;")</f>
        <v>Amblyomma americanum cytochrome oxidase subunit 2 (cox2) mRNA, partial cds;</v>
      </c>
      <c r="CP183" t="str">
        <f>HYPERLINK("http://www.ncbi.nlm.nih.gov/entrez/viewer.fcgi?db=nucleotide&amp;val=75372337","6E-009")</f>
        <v>6E-009</v>
      </c>
      <c r="CQ183" t="str">
        <f>HYPERLINK("http://www.ncbi.nlm.nih.gov/entrez/viewer.fcgi?db=nucleotide&amp;val=75372337","gi|75372337")</f>
        <v>gi|75372337</v>
      </c>
      <c r="CR183">
        <v>56</v>
      </c>
      <c r="CS183">
        <v>31</v>
      </c>
      <c r="CT183">
        <v>705</v>
      </c>
      <c r="CU183">
        <v>96</v>
      </c>
      <c r="CV183">
        <v>5</v>
      </c>
      <c r="CW183">
        <v>1</v>
      </c>
      <c r="CX183">
        <v>0</v>
      </c>
      <c r="CY183">
        <v>167</v>
      </c>
      <c r="CZ183">
        <v>152</v>
      </c>
      <c r="DA183">
        <v>1</v>
      </c>
      <c r="DB183" t="s">
        <v>51</v>
      </c>
      <c r="DC183" t="s">
        <v>8</v>
      </c>
      <c r="DD183"/>
      <c r="DE183"/>
      <c r="DF183"/>
      <c r="DG183"/>
      <c r="DH183"/>
      <c r="DI183"/>
      <c r="DJ183"/>
      <c r="DK183"/>
      <c r="DL183"/>
      <c r="DM183"/>
      <c r="DN183"/>
      <c r="DO183"/>
      <c r="DP183"/>
    </row>
    <row r="184" spans="1:120" s="6" customFormat="1">
      <c r="A184" t="str">
        <f>HYPERLINK(".\links\pep\TI-314-pep.txt","TI-314")</f>
        <v>TI-314</v>
      </c>
      <c r="B184">
        <v>314</v>
      </c>
      <c r="C184" t="s">
        <v>7</v>
      </c>
      <c r="D184">
        <v>195</v>
      </c>
      <c r="E184">
        <v>0</v>
      </c>
      <c r="F184" t="str">
        <f>HYPERLINK(".\links\cds\TI-314-cds.txt","TI-314")</f>
        <v>TI-314</v>
      </c>
      <c r="G184">
        <v>584</v>
      </c>
      <c r="H184"/>
      <c r="I184" t="s">
        <v>29</v>
      </c>
      <c r="J184" t="s">
        <v>8</v>
      </c>
      <c r="K184">
        <v>1</v>
      </c>
      <c r="L184">
        <v>0</v>
      </c>
      <c r="M184">
        <f t="shared" si="10"/>
        <v>1</v>
      </c>
      <c r="N184">
        <f t="shared" si="11"/>
        <v>1</v>
      </c>
      <c r="O184" t="s">
        <v>1313</v>
      </c>
      <c r="P184" t="s">
        <v>1187</v>
      </c>
      <c r="Q184" t="str">
        <f>HYPERLINK(".\links\NR-LIGHT\TI-314-NR-LIGHT.txt","NR-LIGHT")</f>
        <v>NR-LIGHT</v>
      </c>
      <c r="R184" s="3">
        <v>1.9999999999999998E-24</v>
      </c>
      <c r="S184">
        <v>80</v>
      </c>
      <c r="T184" t="str">
        <f>HYPERLINK(".\links\NR-LIGHT\TI-314-NR-LIGHT.txt","CD63 antigen-like isoform 2")</f>
        <v>CD63 antigen-like isoform 2</v>
      </c>
      <c r="U184" t="str">
        <f>HYPERLINK("http://www.ncbi.nlm.nih.gov/sutils/blink.cgi?pid=328704941","2E-029")</f>
        <v>2E-029</v>
      </c>
      <c r="V184" t="str">
        <f>HYPERLINK("http://www.ncbi.nlm.nih.gov/protein/328704941","gi|328704941")</f>
        <v>gi|328704941</v>
      </c>
      <c r="W184">
        <v>130</v>
      </c>
      <c r="X184">
        <v>138</v>
      </c>
      <c r="Y184">
        <v>239</v>
      </c>
      <c r="Z184">
        <v>46</v>
      </c>
      <c r="AA184">
        <v>58</v>
      </c>
      <c r="AB184">
        <v>75</v>
      </c>
      <c r="AC184">
        <v>5</v>
      </c>
      <c r="AD184">
        <v>66</v>
      </c>
      <c r="AE184">
        <v>62</v>
      </c>
      <c r="AF184">
        <v>1</v>
      </c>
      <c r="AG184"/>
      <c r="AH184" t="s">
        <v>13</v>
      </c>
      <c r="AI184" t="s">
        <v>51</v>
      </c>
      <c r="AJ184" t="s">
        <v>264</v>
      </c>
      <c r="AK184" t="str">
        <f>HYPERLINK(".\links\SWISSP\TI-314-SWISSP.txt","CD63 antigen OS=Felis catus GN=CD63 PE=2 SV=3")</f>
        <v>CD63 antigen OS=Felis catus GN=CD63 PE=2 SV=3</v>
      </c>
      <c r="AL184" t="str">
        <f>HYPERLINK("http://www.uniprot.org/uniprot/Q76B49","1E-018")</f>
        <v>1E-018</v>
      </c>
      <c r="AM184" t="s">
        <v>188</v>
      </c>
      <c r="AN184">
        <v>92.8</v>
      </c>
      <c r="AO184">
        <v>192</v>
      </c>
      <c r="AP184">
        <v>238</v>
      </c>
      <c r="AQ184">
        <v>31</v>
      </c>
      <c r="AR184">
        <v>81</v>
      </c>
      <c r="AS184">
        <v>138</v>
      </c>
      <c r="AT184">
        <v>23</v>
      </c>
      <c r="AU184">
        <v>10</v>
      </c>
      <c r="AV184">
        <v>8</v>
      </c>
      <c r="AW184">
        <v>1</v>
      </c>
      <c r="AX184" t="s">
        <v>189</v>
      </c>
      <c r="AY184" t="str">
        <f>HYPERLINK(".\links\PREV-RHOD-PEP\TI-314-PREV-RHOD-PEP.txt","Contig17398_11")</f>
        <v>Contig17398_11</v>
      </c>
      <c r="AZ184" s="3">
        <v>6.0000000000000001E-43</v>
      </c>
      <c r="BA184" t="s">
        <v>1106</v>
      </c>
      <c r="BB184">
        <v>169</v>
      </c>
      <c r="BC184">
        <v>172</v>
      </c>
      <c r="BD184">
        <v>212</v>
      </c>
      <c r="BE184">
        <v>50</v>
      </c>
      <c r="BF184">
        <v>82</v>
      </c>
      <c r="BG184">
        <v>88</v>
      </c>
      <c r="BH184">
        <v>4</v>
      </c>
      <c r="BI184">
        <v>12</v>
      </c>
      <c r="BJ184">
        <v>21</v>
      </c>
      <c r="BK184">
        <v>1</v>
      </c>
      <c r="BL184" t="s">
        <v>790</v>
      </c>
      <c r="BM184">
        <f>HYPERLINK(".\links\GO\TI-314-GO.txt",4E-20)</f>
        <v>3.9999999999999998E-20</v>
      </c>
      <c r="BN184" t="s">
        <v>8</v>
      </c>
      <c r="BO184" t="s">
        <v>8</v>
      </c>
      <c r="BP184" t="s">
        <v>8</v>
      </c>
      <c r="BQ184" t="s">
        <v>8</v>
      </c>
      <c r="BR184" t="s">
        <v>8</v>
      </c>
      <c r="BS184" t="s">
        <v>322</v>
      </c>
      <c r="BT184" t="s">
        <v>323</v>
      </c>
      <c r="BU184" t="s">
        <v>324</v>
      </c>
      <c r="BV184" t="s">
        <v>325</v>
      </c>
      <c r="BW184">
        <v>8E-14</v>
      </c>
      <c r="BX184" t="s">
        <v>8</v>
      </c>
      <c r="BY184" t="s">
        <v>8</v>
      </c>
      <c r="BZ184" t="s">
        <v>8</v>
      </c>
      <c r="CA184" t="s">
        <v>8</v>
      </c>
      <c r="CB184" t="s">
        <v>8</v>
      </c>
      <c r="CC184" t="s">
        <v>8</v>
      </c>
      <c r="CD184"/>
      <c r="CE184"/>
      <c r="CF184" t="s">
        <v>8</v>
      </c>
      <c r="CG184"/>
      <c r="CH184"/>
      <c r="CI184" t="s">
        <v>8</v>
      </c>
      <c r="CJ184"/>
      <c r="CK184" t="s">
        <v>8</v>
      </c>
      <c r="CL184"/>
      <c r="CM184" t="s">
        <v>8</v>
      </c>
      <c r="CN184"/>
      <c r="CO184" t="s">
        <v>8</v>
      </c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 t="s">
        <v>8</v>
      </c>
      <c r="DD184"/>
      <c r="DE184"/>
      <c r="DF184"/>
      <c r="DG184"/>
      <c r="DH184"/>
      <c r="DI184"/>
      <c r="DJ184"/>
      <c r="DK184"/>
      <c r="DL184"/>
      <c r="DM184"/>
      <c r="DN184"/>
      <c r="DO184"/>
      <c r="DP184"/>
    </row>
    <row r="185" spans="1:120" s="6" customFormat="1">
      <c r="A185" t="str">
        <f>HYPERLINK(".\links\pep\TI-315-pep.txt","TI-315")</f>
        <v>TI-315</v>
      </c>
      <c r="B185">
        <v>315</v>
      </c>
      <c r="C185" t="s">
        <v>7</v>
      </c>
      <c r="D185">
        <v>114</v>
      </c>
      <c r="E185">
        <v>0</v>
      </c>
      <c r="F185" t="str">
        <f>HYPERLINK(".\links\cds\TI-315-cds.txt","TI-315")</f>
        <v>TI-315</v>
      </c>
      <c r="G185">
        <v>340</v>
      </c>
      <c r="H185"/>
      <c r="I185" t="s">
        <v>29</v>
      </c>
      <c r="J185" t="s">
        <v>8</v>
      </c>
      <c r="K185">
        <v>0</v>
      </c>
      <c r="L185">
        <v>1</v>
      </c>
      <c r="M185">
        <f t="shared" si="10"/>
        <v>-1</v>
      </c>
      <c r="N185">
        <f t="shared" si="11"/>
        <v>1</v>
      </c>
      <c r="O185" t="s">
        <v>1314</v>
      </c>
      <c r="P185" t="s">
        <v>1181</v>
      </c>
      <c r="Q185" t="str">
        <f>HYPERLINK(".\links\GO\TI-315-GO.txt","GO")</f>
        <v>GO</v>
      </c>
      <c r="R185" s="3">
        <v>4.9999999999999998E-65</v>
      </c>
      <c r="S185">
        <v>25.3</v>
      </c>
      <c r="T185" t="str">
        <f>HYPERLINK(".\links\NR-LIGHT\TI-315-NR-LIGHT.txt","similar to tubulin, alpha 2 isoform 2 isoform 2")</f>
        <v>similar to tubulin, alpha 2 isoform 2 isoform 2</v>
      </c>
      <c r="U185" t="str">
        <f>HYPERLINK("http://www.ncbi.nlm.nih.gov/sutils/blink.cgi?pid=73995895","8E-064")</f>
        <v>8E-064</v>
      </c>
      <c r="V185" t="str">
        <f>HYPERLINK("http://www.ncbi.nlm.nih.gov/protein/73995895","gi|73995895")</f>
        <v>gi|73995895</v>
      </c>
      <c r="W185">
        <v>244</v>
      </c>
      <c r="X185">
        <v>113</v>
      </c>
      <c r="Y185">
        <v>418</v>
      </c>
      <c r="Z185">
        <v>99</v>
      </c>
      <c r="AA185">
        <v>27</v>
      </c>
      <c r="AB185">
        <v>1</v>
      </c>
      <c r="AC185">
        <v>0</v>
      </c>
      <c r="AD185">
        <v>1</v>
      </c>
      <c r="AE185">
        <v>1</v>
      </c>
      <c r="AF185">
        <v>1</v>
      </c>
      <c r="AG185"/>
      <c r="AH185" t="s">
        <v>13</v>
      </c>
      <c r="AI185" t="s">
        <v>51</v>
      </c>
      <c r="AJ185" t="s">
        <v>205</v>
      </c>
      <c r="AK185" t="str">
        <f>HYPERLINK(".\links\SWISSP\TI-315-SWISSP.txt","Tubulin alpha-3 chain OS=Bos taurus GN=TUBA3 PE=2 SV=1")</f>
        <v>Tubulin alpha-3 chain OS=Bos taurus GN=TUBA3 PE=2 SV=1</v>
      </c>
      <c r="AL185" t="str">
        <f>HYPERLINK("http://www.uniprot.org/uniprot/Q32KN8","2E-064")</f>
        <v>2E-064</v>
      </c>
      <c r="AM185" t="s">
        <v>190</v>
      </c>
      <c r="AN185">
        <v>243</v>
      </c>
      <c r="AO185">
        <v>113</v>
      </c>
      <c r="AP185">
        <v>450</v>
      </c>
      <c r="AQ185">
        <v>99</v>
      </c>
      <c r="AR185">
        <v>25</v>
      </c>
      <c r="AS185">
        <v>1</v>
      </c>
      <c r="AT185">
        <v>0</v>
      </c>
      <c r="AU185">
        <v>1</v>
      </c>
      <c r="AV185">
        <v>1</v>
      </c>
      <c r="AW185">
        <v>1</v>
      </c>
      <c r="AX185" t="s">
        <v>64</v>
      </c>
      <c r="AY185" t="str">
        <f>HYPERLINK(".\links\PREV-RHOD-PEP\TI-315-PREV-RHOD-PEP.txt","Contig17942_176")</f>
        <v>Contig17942_176</v>
      </c>
      <c r="AZ185" s="3">
        <v>1.9999999999999999E-60</v>
      </c>
      <c r="BA185" t="s">
        <v>1107</v>
      </c>
      <c r="BB185">
        <v>226</v>
      </c>
      <c r="BC185">
        <v>115</v>
      </c>
      <c r="BD185">
        <v>451</v>
      </c>
      <c r="BE185">
        <v>90</v>
      </c>
      <c r="BF185">
        <v>26</v>
      </c>
      <c r="BG185">
        <v>11</v>
      </c>
      <c r="BH185">
        <v>2</v>
      </c>
      <c r="BI185">
        <v>1</v>
      </c>
      <c r="BJ185">
        <v>1</v>
      </c>
      <c r="BK185">
        <v>1</v>
      </c>
      <c r="BL185" t="s">
        <v>791</v>
      </c>
      <c r="BM185">
        <f>HYPERLINK(".\links\GO\TI-315-GO.txt",5E-65)</f>
        <v>4.9999999999999998E-65</v>
      </c>
      <c r="BN185" t="s">
        <v>792</v>
      </c>
      <c r="BO185" t="s">
        <v>340</v>
      </c>
      <c r="BP185" t="s">
        <v>341</v>
      </c>
      <c r="BQ185" t="s">
        <v>793</v>
      </c>
      <c r="BR185" s="3">
        <v>8.9999999999999995E-65</v>
      </c>
      <c r="BS185" t="s">
        <v>794</v>
      </c>
      <c r="BT185" t="s">
        <v>477</v>
      </c>
      <c r="BU185" t="s">
        <v>477</v>
      </c>
      <c r="BV185" t="s">
        <v>795</v>
      </c>
      <c r="BW185" s="3">
        <v>8.9999999999999995E-65</v>
      </c>
      <c r="BX185" t="s">
        <v>796</v>
      </c>
      <c r="BY185" t="s">
        <v>340</v>
      </c>
      <c r="BZ185" t="s">
        <v>341</v>
      </c>
      <c r="CA185" t="s">
        <v>797</v>
      </c>
      <c r="CB185" s="3">
        <v>8.9999999999999995E-65</v>
      </c>
      <c r="CC185" t="s">
        <v>8</v>
      </c>
      <c r="CD185"/>
      <c r="CE185"/>
      <c r="CF185" t="s">
        <v>8</v>
      </c>
      <c r="CG185"/>
      <c r="CH185"/>
      <c r="CI185" t="s">
        <v>8</v>
      </c>
      <c r="CJ185"/>
      <c r="CK185" t="s">
        <v>8</v>
      </c>
      <c r="CL185"/>
      <c r="CM185" t="s">
        <v>8</v>
      </c>
      <c r="CN185"/>
      <c r="CO185" t="s">
        <v>8</v>
      </c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 t="s">
        <v>8</v>
      </c>
      <c r="DD185"/>
      <c r="DE185"/>
      <c r="DF185"/>
      <c r="DG185"/>
      <c r="DH185"/>
      <c r="DI185"/>
      <c r="DJ185"/>
      <c r="DK185"/>
      <c r="DL185"/>
      <c r="DM185"/>
      <c r="DN185"/>
      <c r="DO185"/>
      <c r="DP185"/>
    </row>
    <row r="186" spans="1:120" s="6" customFormat="1">
      <c r="A186" t="str">
        <f>HYPERLINK(".\links\pep\TI-316-pep.txt","TI-316")</f>
        <v>TI-316</v>
      </c>
      <c r="B186">
        <v>316</v>
      </c>
      <c r="C186" t="s">
        <v>11</v>
      </c>
      <c r="D186">
        <v>68</v>
      </c>
      <c r="E186">
        <v>0</v>
      </c>
      <c r="F186" t="str">
        <f>HYPERLINK(".\links\cds\TI-316-cds.txt","TI-316")</f>
        <v>TI-316</v>
      </c>
      <c r="G186">
        <v>203</v>
      </c>
      <c r="H186"/>
      <c r="I186" t="s">
        <v>8</v>
      </c>
      <c r="J186" t="s">
        <v>8</v>
      </c>
      <c r="K186">
        <v>1</v>
      </c>
      <c r="L186">
        <v>0</v>
      </c>
      <c r="M186">
        <f t="shared" si="10"/>
        <v>1</v>
      </c>
      <c r="N186">
        <f t="shared" si="11"/>
        <v>1</v>
      </c>
      <c r="O186" t="s">
        <v>1315</v>
      </c>
      <c r="P186" t="s">
        <v>1178</v>
      </c>
      <c r="Q186" t="str">
        <f>HYPERLINK(".\links\NR-LIGHT\TI-316-NR-LIGHT.txt","NR-LIGHT")</f>
        <v>NR-LIGHT</v>
      </c>
      <c r="R186">
        <v>2.0000000000000001E-13</v>
      </c>
      <c r="S186">
        <v>15.3</v>
      </c>
      <c r="T186" t="str">
        <f>HYPERLINK(".\links\NR-LIGHT\TI-316-NR-LIGHT.txt","NADH dehydrogenase subunit 4")</f>
        <v>NADH dehydrogenase subunit 4</v>
      </c>
      <c r="U186" t="str">
        <f>HYPERLINK("http://www.ncbi.nlm.nih.gov/sutils/blink.cgi?pid=11182470","2E-013")</f>
        <v>2E-013</v>
      </c>
      <c r="V186" t="str">
        <f>HYPERLINK("http://www.ncbi.nlm.nih.gov/protein/11182470","gi|11182470")</f>
        <v>gi|11182470</v>
      </c>
      <c r="W186">
        <v>76.599999999999994</v>
      </c>
      <c r="X186">
        <v>67</v>
      </c>
      <c r="Y186">
        <v>443</v>
      </c>
      <c r="Z186">
        <v>58</v>
      </c>
      <c r="AA186">
        <v>15</v>
      </c>
      <c r="AB186">
        <v>28</v>
      </c>
      <c r="AC186">
        <v>0</v>
      </c>
      <c r="AD186">
        <v>201</v>
      </c>
      <c r="AE186">
        <v>1</v>
      </c>
      <c r="AF186">
        <v>1</v>
      </c>
      <c r="AG186"/>
      <c r="AH186" t="s">
        <v>13</v>
      </c>
      <c r="AI186" t="s">
        <v>51</v>
      </c>
      <c r="AJ186" t="s">
        <v>272</v>
      </c>
      <c r="AK186" t="str">
        <f>HYPERLINK(".\links\SWISSP\TI-316-SWISSP.txt","NADH-ubiquinone oxidoreductase chain 4 OS=Rhipicephalus sanguineus GN=ND4 PE=3")</f>
        <v>NADH-ubiquinone oxidoreductase chain 4 OS=Rhipicephalus sanguineus GN=ND4 PE=3</v>
      </c>
      <c r="AL186" t="str">
        <f>HYPERLINK("http://www.uniprot.org/uniprot/O99825","8E-007")</f>
        <v>8E-007</v>
      </c>
      <c r="AM186" t="s">
        <v>191</v>
      </c>
      <c r="AN186">
        <v>52.4</v>
      </c>
      <c r="AO186">
        <v>67</v>
      </c>
      <c r="AP186">
        <v>433</v>
      </c>
      <c r="AQ186">
        <v>41</v>
      </c>
      <c r="AR186">
        <v>16</v>
      </c>
      <c r="AS186">
        <v>40</v>
      </c>
      <c r="AT186">
        <v>0</v>
      </c>
      <c r="AU186">
        <v>193</v>
      </c>
      <c r="AV186">
        <v>1</v>
      </c>
      <c r="AW186">
        <v>1</v>
      </c>
      <c r="AX186" t="s">
        <v>187</v>
      </c>
      <c r="AY186" t="str">
        <f>HYPERLINK(".\links\PREV-RHOD-PEP\TI-316-PREV-RHOD-PEP.txt","Contig7881_1")</f>
        <v>Contig7881_1</v>
      </c>
      <c r="AZ186" s="3">
        <v>1E-8</v>
      </c>
      <c r="BA186" t="s">
        <v>1108</v>
      </c>
      <c r="BB186">
        <v>54.7</v>
      </c>
      <c r="BC186">
        <v>64</v>
      </c>
      <c r="BD186">
        <v>268</v>
      </c>
      <c r="BE186">
        <v>46</v>
      </c>
      <c r="BF186">
        <v>24</v>
      </c>
      <c r="BG186">
        <v>35</v>
      </c>
      <c r="BH186">
        <v>0</v>
      </c>
      <c r="BI186">
        <v>73</v>
      </c>
      <c r="BJ186">
        <v>4</v>
      </c>
      <c r="BK186">
        <v>1</v>
      </c>
      <c r="BL186" t="s">
        <v>798</v>
      </c>
      <c r="BM186">
        <f>HYPERLINK(".\links\GO\TI-316-GO.txt",0.000006)</f>
        <v>6.0000000000000002E-6</v>
      </c>
      <c r="BN186" t="s">
        <v>373</v>
      </c>
      <c r="BO186" t="s">
        <v>373</v>
      </c>
      <c r="BP186"/>
      <c r="BQ186" t="s">
        <v>374</v>
      </c>
      <c r="BR186">
        <v>5.0000000000000002E-5</v>
      </c>
      <c r="BS186" t="s">
        <v>375</v>
      </c>
      <c r="BT186" t="s">
        <v>375</v>
      </c>
      <c r="BU186"/>
      <c r="BV186" t="s">
        <v>376</v>
      </c>
      <c r="BW186">
        <v>5.0000000000000002E-5</v>
      </c>
      <c r="BX186" t="s">
        <v>618</v>
      </c>
      <c r="BY186" t="s">
        <v>373</v>
      </c>
      <c r="BZ186"/>
      <c r="CA186" t="s">
        <v>619</v>
      </c>
      <c r="CB186">
        <v>5.0000000000000002E-5</v>
      </c>
      <c r="CC186" t="s">
        <v>8</v>
      </c>
      <c r="CD186"/>
      <c r="CE186"/>
      <c r="CF186" t="s">
        <v>8</v>
      </c>
      <c r="CG186"/>
      <c r="CH186"/>
      <c r="CI186" t="s">
        <v>8</v>
      </c>
      <c r="CJ186"/>
      <c r="CK186" t="s">
        <v>8</v>
      </c>
      <c r="CL186"/>
      <c r="CM186" t="s">
        <v>8</v>
      </c>
      <c r="CN186"/>
      <c r="CO186" t="s">
        <v>8</v>
      </c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 t="s">
        <v>8</v>
      </c>
      <c r="DD186"/>
      <c r="DE186"/>
      <c r="DF186"/>
      <c r="DG186"/>
      <c r="DH186"/>
      <c r="DI186"/>
      <c r="DJ186"/>
      <c r="DK186"/>
      <c r="DL186"/>
      <c r="DM186"/>
      <c r="DN186"/>
      <c r="DO186"/>
      <c r="DP186"/>
    </row>
    <row r="187" spans="1:120" s="6" customFormat="1">
      <c r="A187" t="str">
        <f>HYPERLINK(".\links\pep\TI-317-pep.txt","TI-317")</f>
        <v>TI-317</v>
      </c>
      <c r="B187">
        <v>317</v>
      </c>
      <c r="C187" t="s">
        <v>10</v>
      </c>
      <c r="D187">
        <v>136</v>
      </c>
      <c r="E187">
        <v>0</v>
      </c>
      <c r="F187" t="str">
        <f>HYPERLINK(".\links\cds\TI-317-cds.txt","TI-317")</f>
        <v>TI-317</v>
      </c>
      <c r="G187">
        <v>411</v>
      </c>
      <c r="H187"/>
      <c r="I187" t="s">
        <v>8</v>
      </c>
      <c r="J187" t="s">
        <v>6</v>
      </c>
      <c r="K187">
        <v>1</v>
      </c>
      <c r="L187">
        <v>0</v>
      </c>
      <c r="M187">
        <f t="shared" si="10"/>
        <v>1</v>
      </c>
      <c r="N187">
        <f t="shared" si="11"/>
        <v>1</v>
      </c>
      <c r="O187" t="s">
        <v>1270</v>
      </c>
      <c r="P187" t="s">
        <v>1178</v>
      </c>
      <c r="Q187" t="str">
        <f>HYPERLINK(".\links\NR-LIGHT\TI-317-NR-LIGHT.txt","NR-LIGHT")</f>
        <v>NR-LIGHT</v>
      </c>
      <c r="R187" s="3">
        <v>7.0000000000000004E-46</v>
      </c>
      <c r="S187">
        <v>22.6</v>
      </c>
      <c r="T187" t="str">
        <f>HYPERLINK(".\links\NR-LIGHT\TI-317-NR-LIGHT.txt","NADH dehydrogenase subunit 5")</f>
        <v>NADH dehydrogenase subunit 5</v>
      </c>
      <c r="U187" t="str">
        <f>HYPERLINK("http://www.ncbi.nlm.nih.gov/sutils/blink.cgi?pid=11182469","7E-046")</f>
        <v>7E-046</v>
      </c>
      <c r="V187" t="str">
        <f>HYPERLINK("http://www.ncbi.nlm.nih.gov/protein/11182469","gi|11182469")</f>
        <v>gi|11182469</v>
      </c>
      <c r="W187">
        <v>184</v>
      </c>
      <c r="X187">
        <v>128</v>
      </c>
      <c r="Y187">
        <v>570</v>
      </c>
      <c r="Z187">
        <v>74</v>
      </c>
      <c r="AA187">
        <v>23</v>
      </c>
      <c r="AB187">
        <v>33</v>
      </c>
      <c r="AC187">
        <v>0</v>
      </c>
      <c r="AD187">
        <v>32</v>
      </c>
      <c r="AE187">
        <v>8</v>
      </c>
      <c r="AF187">
        <v>1</v>
      </c>
      <c r="AG187"/>
      <c r="AH187" t="s">
        <v>13</v>
      </c>
      <c r="AI187" t="s">
        <v>51</v>
      </c>
      <c r="AJ187" t="s">
        <v>272</v>
      </c>
      <c r="AK187" t="str">
        <f>HYPERLINK(".\links\SWISSP\TI-317-SWISSP.txt","NADH-ubiquinone oxidoreductase chain 5 OS=Aedes aegypti GN=mt:ND5 PE=3 SV=1")</f>
        <v>NADH-ubiquinone oxidoreductase chain 5 OS=Aedes aegypti GN=mt:ND5 PE=3 SV=1</v>
      </c>
      <c r="AL187" t="str">
        <f>HYPERLINK("http://www.uniprot.org/uniprot/B0FWD3","4E-038")</f>
        <v>4E-038</v>
      </c>
      <c r="AM187" t="s">
        <v>192</v>
      </c>
      <c r="AN187">
        <v>156</v>
      </c>
      <c r="AO187">
        <v>127</v>
      </c>
      <c r="AP187">
        <v>580</v>
      </c>
      <c r="AQ187">
        <v>60</v>
      </c>
      <c r="AR187">
        <v>22</v>
      </c>
      <c r="AS187">
        <v>51</v>
      </c>
      <c r="AT187">
        <v>0</v>
      </c>
      <c r="AU187">
        <v>33</v>
      </c>
      <c r="AV187">
        <v>9</v>
      </c>
      <c r="AW187">
        <v>1</v>
      </c>
      <c r="AX187" t="s">
        <v>76</v>
      </c>
      <c r="AY187" t="str">
        <f>HYPERLINK(".\links\PREV-RHOD-PEP\TI-317-PREV-RHOD-PEP.txt","Contig8174_1")</f>
        <v>Contig8174_1</v>
      </c>
      <c r="AZ187" s="3">
        <v>9.9999999999999995E-7</v>
      </c>
      <c r="BA187" t="s">
        <v>1109</v>
      </c>
      <c r="BB187">
        <v>48.1</v>
      </c>
      <c r="BC187">
        <v>26</v>
      </c>
      <c r="BD187">
        <v>159</v>
      </c>
      <c r="BE187">
        <v>81</v>
      </c>
      <c r="BF187">
        <v>17</v>
      </c>
      <c r="BG187">
        <v>5</v>
      </c>
      <c r="BH187">
        <v>0</v>
      </c>
      <c r="BI187">
        <v>1</v>
      </c>
      <c r="BJ187">
        <v>110</v>
      </c>
      <c r="BK187">
        <v>1</v>
      </c>
      <c r="BL187" t="s">
        <v>615</v>
      </c>
      <c r="BM187">
        <f>HYPERLINK(".\links\GO\TI-317-GO.txt",1E-37)</f>
        <v>1.0000000000000001E-37</v>
      </c>
      <c r="BN187" t="s">
        <v>373</v>
      </c>
      <c r="BO187" t="s">
        <v>373</v>
      </c>
      <c r="BP187"/>
      <c r="BQ187" t="s">
        <v>374</v>
      </c>
      <c r="BR187">
        <v>1E-8</v>
      </c>
      <c r="BS187" t="s">
        <v>616</v>
      </c>
      <c r="BT187" t="s">
        <v>323</v>
      </c>
      <c r="BU187" t="s">
        <v>390</v>
      </c>
      <c r="BV187" t="s">
        <v>617</v>
      </c>
      <c r="BW187">
        <v>1E-8</v>
      </c>
      <c r="BX187" t="s">
        <v>618</v>
      </c>
      <c r="BY187" t="s">
        <v>373</v>
      </c>
      <c r="BZ187"/>
      <c r="CA187" t="s">
        <v>619</v>
      </c>
      <c r="CB187">
        <v>1E-8</v>
      </c>
      <c r="CC187" t="s">
        <v>8</v>
      </c>
      <c r="CD187"/>
      <c r="CE187"/>
      <c r="CF187" t="s">
        <v>8</v>
      </c>
      <c r="CG187"/>
      <c r="CH187"/>
      <c r="CI187" t="s">
        <v>8</v>
      </c>
      <c r="CJ187"/>
      <c r="CK187" t="s">
        <v>8</v>
      </c>
      <c r="CL187"/>
      <c r="CM187" t="s">
        <v>8</v>
      </c>
      <c r="CN187"/>
      <c r="CO187" t="str">
        <f>HYPERLINK(".\links\MIT-PLA\TI-317-MIT-PLA.txt","Drosophila silvestris clone sv3E-C02 NADH dehydrogenase 5 (ND5) mRNA, partial")</f>
        <v>Drosophila silvestris clone sv3E-C02 NADH dehydrogenase 5 (ND5) mRNA, partial</v>
      </c>
      <c r="CP187" t="str">
        <f>HYPERLINK("http://www.ncbi.nlm.nih.gov/entrez/viewer.fcgi?db=nucleotide&amp;val=164430957","6E-014")</f>
        <v>6E-014</v>
      </c>
      <c r="CQ187" t="str">
        <f>HYPERLINK("http://www.ncbi.nlm.nih.gov/entrez/viewer.fcgi?db=nucleotide&amp;val=164430957","gi|164430957")</f>
        <v>gi|164430957</v>
      </c>
      <c r="CR187">
        <v>73.8</v>
      </c>
      <c r="CS187">
        <v>100</v>
      </c>
      <c r="CT187">
        <v>642</v>
      </c>
      <c r="CU187">
        <v>84</v>
      </c>
      <c r="CV187">
        <v>16</v>
      </c>
      <c r="CW187">
        <v>16</v>
      </c>
      <c r="CX187">
        <v>0</v>
      </c>
      <c r="CY187">
        <v>136</v>
      </c>
      <c r="CZ187">
        <v>242</v>
      </c>
      <c r="DA187">
        <v>1</v>
      </c>
      <c r="DB187" t="s">
        <v>51</v>
      </c>
      <c r="DC187" t="s">
        <v>8</v>
      </c>
      <c r="DD187"/>
      <c r="DE187"/>
      <c r="DF187"/>
      <c r="DG187"/>
      <c r="DH187"/>
      <c r="DI187"/>
      <c r="DJ187"/>
      <c r="DK187"/>
      <c r="DL187"/>
      <c r="DM187"/>
      <c r="DN187"/>
      <c r="DO187"/>
      <c r="DP187"/>
    </row>
    <row r="188" spans="1:120" s="6" customFormat="1">
      <c r="A188" t="str">
        <f>HYPERLINK(".\links\pep\TI-318-pep.txt","TI-318")</f>
        <v>TI-318</v>
      </c>
      <c r="B188">
        <v>318</v>
      </c>
      <c r="C188" t="s">
        <v>27</v>
      </c>
      <c r="D188">
        <v>136</v>
      </c>
      <c r="E188">
        <v>0</v>
      </c>
      <c r="F188" t="str">
        <f>HYPERLINK(".\links\cds\TI-318-cds.txt","TI-318")</f>
        <v>TI-318</v>
      </c>
      <c r="G188">
        <v>411</v>
      </c>
      <c r="H188"/>
      <c r="I188" t="s">
        <v>8</v>
      </c>
      <c r="J188" t="s">
        <v>6</v>
      </c>
      <c r="K188">
        <v>1</v>
      </c>
      <c r="L188">
        <v>0</v>
      </c>
      <c r="M188">
        <f t="shared" si="10"/>
        <v>1</v>
      </c>
      <c r="N188">
        <f t="shared" si="11"/>
        <v>1</v>
      </c>
      <c r="O188" t="s">
        <v>1316</v>
      </c>
      <c r="P188" t="s">
        <v>1208</v>
      </c>
      <c r="Q188" t="str">
        <f>HYPERLINK(".\links\GO\TI-318-GO.txt","GO")</f>
        <v>GO</v>
      </c>
      <c r="R188" s="3">
        <v>4.9999999999999996E-25</v>
      </c>
      <c r="S188">
        <v>101.4</v>
      </c>
      <c r="T188" t="str">
        <f>HYPERLINK(".\links\NR-LIGHT\TI-318-NR-LIGHT.txt","lysozyme")</f>
        <v>lysozyme</v>
      </c>
      <c r="U188" t="str">
        <f>HYPERLINK("http://www.ncbi.nlm.nih.gov/sutils/blink.cgi?pid=32454476","1E-069")</f>
        <v>1E-069</v>
      </c>
      <c r="V188" t="str">
        <f>HYPERLINK("http://www.ncbi.nlm.nih.gov/protein/32454476","gi|32454476")</f>
        <v>gi|32454476</v>
      </c>
      <c r="W188">
        <v>263</v>
      </c>
      <c r="X188">
        <v>125</v>
      </c>
      <c r="Y188">
        <v>139</v>
      </c>
      <c r="Z188">
        <v>99</v>
      </c>
      <c r="AA188">
        <v>91</v>
      </c>
      <c r="AB188">
        <v>1</v>
      </c>
      <c r="AC188">
        <v>0</v>
      </c>
      <c r="AD188">
        <v>14</v>
      </c>
      <c r="AE188">
        <v>11</v>
      </c>
      <c r="AF188">
        <v>1</v>
      </c>
      <c r="AG188"/>
      <c r="AH188" t="s">
        <v>13</v>
      </c>
      <c r="AI188" t="s">
        <v>51</v>
      </c>
      <c r="AJ188" t="s">
        <v>273</v>
      </c>
      <c r="AK188" t="str">
        <f>HYPERLINK(".\links\SWISSP\TI-318-SWISSP.txt","Lysozyme c-1 OS=Anopheles gambiae GN=AGAP007347 PE=2 SV=2")</f>
        <v>Lysozyme c-1 OS=Anopheles gambiae GN=AGAP007347 PE=2 SV=2</v>
      </c>
      <c r="AL188" t="str">
        <f>HYPERLINK("http://www.uniprot.org/uniprot/Q17005","4E-033")</f>
        <v>4E-033</v>
      </c>
      <c r="AM188" t="s">
        <v>168</v>
      </c>
      <c r="AN188">
        <v>139</v>
      </c>
      <c r="AO188">
        <v>133</v>
      </c>
      <c r="AP188">
        <v>140</v>
      </c>
      <c r="AQ188">
        <v>47</v>
      </c>
      <c r="AR188">
        <v>96</v>
      </c>
      <c r="AS188">
        <v>71</v>
      </c>
      <c r="AT188">
        <v>1</v>
      </c>
      <c r="AU188">
        <v>7</v>
      </c>
      <c r="AV188">
        <v>2</v>
      </c>
      <c r="AW188">
        <v>1</v>
      </c>
      <c r="AX188" t="s">
        <v>110</v>
      </c>
      <c r="AY188" t="str">
        <f>HYPERLINK(".\links\PREV-RHOD-PEP\TI-318-PREV-RHOD-PEP.txt","Contig17801_61")</f>
        <v>Contig17801_61</v>
      </c>
      <c r="AZ188" s="3">
        <v>8.0000000000000003E-62</v>
      </c>
      <c r="BA188" t="s">
        <v>1083</v>
      </c>
      <c r="BB188">
        <v>231</v>
      </c>
      <c r="BC188">
        <v>671</v>
      </c>
      <c r="BD188">
        <v>687</v>
      </c>
      <c r="BE188">
        <v>75</v>
      </c>
      <c r="BF188">
        <v>98</v>
      </c>
      <c r="BG188">
        <v>34</v>
      </c>
      <c r="BH188">
        <v>0</v>
      </c>
      <c r="BI188">
        <v>16</v>
      </c>
      <c r="BJ188">
        <v>1</v>
      </c>
      <c r="BK188">
        <v>2</v>
      </c>
      <c r="BL188" t="s">
        <v>717</v>
      </c>
      <c r="BM188">
        <f>HYPERLINK(".\links\GO\TI-318-GO.txt",2E-30)</f>
        <v>2.0000000000000002E-30</v>
      </c>
      <c r="BN188" t="s">
        <v>718</v>
      </c>
      <c r="BO188" t="s">
        <v>345</v>
      </c>
      <c r="BP188" t="s">
        <v>349</v>
      </c>
      <c r="BQ188" t="s">
        <v>719</v>
      </c>
      <c r="BR188" s="3">
        <v>1E-22</v>
      </c>
      <c r="BS188" t="s">
        <v>8</v>
      </c>
      <c r="BT188" t="s">
        <v>8</v>
      </c>
      <c r="BU188" t="s">
        <v>8</v>
      </c>
      <c r="BV188" t="s">
        <v>8</v>
      </c>
      <c r="BW188" t="s">
        <v>8</v>
      </c>
      <c r="BX188" t="s">
        <v>8</v>
      </c>
      <c r="BY188" t="s">
        <v>8</v>
      </c>
      <c r="BZ188" t="s">
        <v>8</v>
      </c>
      <c r="CA188" t="s">
        <v>8</v>
      </c>
      <c r="CB188" t="s">
        <v>8</v>
      </c>
      <c r="CC188" t="s">
        <v>8</v>
      </c>
      <c r="CD188"/>
      <c r="CE188"/>
      <c r="CF188" t="s">
        <v>8</v>
      </c>
      <c r="CG188"/>
      <c r="CH188"/>
      <c r="CI188" t="s">
        <v>8</v>
      </c>
      <c r="CJ188"/>
      <c r="CK188" t="s">
        <v>8</v>
      </c>
      <c r="CL188"/>
      <c r="CM188" t="s">
        <v>8</v>
      </c>
      <c r="CN188"/>
      <c r="CO188" t="s">
        <v>8</v>
      </c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 t="s">
        <v>8</v>
      </c>
      <c r="DD188"/>
      <c r="DE188"/>
      <c r="DF188"/>
      <c r="DG188"/>
      <c r="DH188"/>
      <c r="DI188"/>
      <c r="DJ188"/>
      <c r="DK188"/>
      <c r="DL188"/>
      <c r="DM188"/>
      <c r="DN188"/>
      <c r="DO188"/>
      <c r="DP188"/>
    </row>
    <row r="189" spans="1:120" s="6" customFormat="1">
      <c r="A189" t="str">
        <f>HYPERLINK(".\links\pep\TI-320-pep.txt","TI-320")</f>
        <v>TI-320</v>
      </c>
      <c r="B189">
        <v>320</v>
      </c>
      <c r="C189" t="s">
        <v>24</v>
      </c>
      <c r="D189">
        <v>238</v>
      </c>
      <c r="E189">
        <v>0</v>
      </c>
      <c r="F189" t="str">
        <f>HYPERLINK(".\links\cds\TI-320-cds.txt","TI-320")</f>
        <v>TI-320</v>
      </c>
      <c r="G189">
        <v>717</v>
      </c>
      <c r="H189"/>
      <c r="I189" t="s">
        <v>8</v>
      </c>
      <c r="J189" t="s">
        <v>6</v>
      </c>
      <c r="K189">
        <v>0</v>
      </c>
      <c r="L189">
        <v>1</v>
      </c>
      <c r="M189">
        <f t="shared" si="10"/>
        <v>-1</v>
      </c>
      <c r="N189">
        <f t="shared" si="11"/>
        <v>1</v>
      </c>
      <c r="O189" t="s">
        <v>1317</v>
      </c>
      <c r="P189" t="s">
        <v>1181</v>
      </c>
      <c r="Q189" t="str">
        <f>HYPERLINK(".\links\NR-LIGHT\TI-320-NR-LIGHT.txt","NR-LIGHT")</f>
        <v>NR-LIGHT</v>
      </c>
      <c r="R189">
        <v>0</v>
      </c>
      <c r="S189">
        <v>53</v>
      </c>
      <c r="T189" t="str">
        <f>HYPERLINK(".\links\NR-LIGHT\TI-320-NR-LIGHT.txt","tubulin beta-1 chain")</f>
        <v>tubulin beta-1 chain</v>
      </c>
      <c r="U189" t="str">
        <f>HYPERLINK("http://www.ncbi.nlm.nih.gov/sutils/blink.cgi?pid=48095525","1E-137")</f>
        <v>1E-137</v>
      </c>
      <c r="V189" t="str">
        <f>HYPERLINK("http://www.ncbi.nlm.nih.gov/protein/48095525","gi|48095525")</f>
        <v>gi|48095525</v>
      </c>
      <c r="W189">
        <v>488</v>
      </c>
      <c r="X189">
        <v>236</v>
      </c>
      <c r="Y189">
        <v>447</v>
      </c>
      <c r="Z189">
        <v>96</v>
      </c>
      <c r="AA189">
        <v>53</v>
      </c>
      <c r="AB189">
        <v>8</v>
      </c>
      <c r="AC189">
        <v>0</v>
      </c>
      <c r="AD189">
        <v>208</v>
      </c>
      <c r="AE189">
        <v>1</v>
      </c>
      <c r="AF189">
        <v>1</v>
      </c>
      <c r="AG189"/>
      <c r="AH189" t="s">
        <v>13</v>
      </c>
      <c r="AI189" t="s">
        <v>51</v>
      </c>
      <c r="AJ189" t="s">
        <v>294</v>
      </c>
      <c r="AK189" t="str">
        <f>HYPERLINK(".\links\SWISSP\TI-320-SWISSP.txt","Tubulin beta-1 chain OS=Manduca sexta PE=2 SV=1")</f>
        <v>Tubulin beta-1 chain OS=Manduca sexta PE=2 SV=1</v>
      </c>
      <c r="AL189" t="str">
        <f>HYPERLINK("http://www.uniprot.org/uniprot/O17449","1E-135")</f>
        <v>1E-135</v>
      </c>
      <c r="AM189" t="s">
        <v>193</v>
      </c>
      <c r="AN189">
        <v>479</v>
      </c>
      <c r="AO189">
        <v>226</v>
      </c>
      <c r="AP189">
        <v>447</v>
      </c>
      <c r="AQ189">
        <v>99</v>
      </c>
      <c r="AR189">
        <v>51</v>
      </c>
      <c r="AS189">
        <v>2</v>
      </c>
      <c r="AT189">
        <v>0</v>
      </c>
      <c r="AU189">
        <v>208</v>
      </c>
      <c r="AV189">
        <v>1</v>
      </c>
      <c r="AW189">
        <v>1</v>
      </c>
      <c r="AX189" t="s">
        <v>194</v>
      </c>
      <c r="AY189" t="str">
        <f>HYPERLINK(".\links\PREV-RHOD-PEP\TI-320-PREV-RHOD-PEP.txt","Contig17812_30")</f>
        <v>Contig17812_30</v>
      </c>
      <c r="AZ189" s="3">
        <v>9.9999999999999998E-141</v>
      </c>
      <c r="BA189" t="s">
        <v>1110</v>
      </c>
      <c r="BB189">
        <v>492</v>
      </c>
      <c r="BC189">
        <v>236</v>
      </c>
      <c r="BD189">
        <v>375</v>
      </c>
      <c r="BE189">
        <v>97</v>
      </c>
      <c r="BF189">
        <v>63</v>
      </c>
      <c r="BG189">
        <v>6</v>
      </c>
      <c r="BH189">
        <v>0</v>
      </c>
      <c r="BI189">
        <v>136</v>
      </c>
      <c r="BJ189">
        <v>1</v>
      </c>
      <c r="BK189">
        <v>1</v>
      </c>
      <c r="BL189" t="s">
        <v>799</v>
      </c>
      <c r="BM189">
        <f>HYPERLINK(".\links\GO\TI-320-GO.txt",0)</f>
        <v>0</v>
      </c>
      <c r="BN189" t="s">
        <v>800</v>
      </c>
      <c r="BO189" t="s">
        <v>340</v>
      </c>
      <c r="BP189" t="s">
        <v>576</v>
      </c>
      <c r="BQ189" t="s">
        <v>801</v>
      </c>
      <c r="BR189" s="3">
        <v>9.9999999999999999E-132</v>
      </c>
      <c r="BS189" t="s">
        <v>802</v>
      </c>
      <c r="BT189" t="s">
        <v>323</v>
      </c>
      <c r="BU189" t="s">
        <v>334</v>
      </c>
      <c r="BV189" t="s">
        <v>803</v>
      </c>
      <c r="BW189" s="3">
        <v>9.9999999999999999E-132</v>
      </c>
      <c r="BX189" t="s">
        <v>796</v>
      </c>
      <c r="BY189" t="s">
        <v>340</v>
      </c>
      <c r="BZ189" t="s">
        <v>576</v>
      </c>
      <c r="CA189" t="s">
        <v>797</v>
      </c>
      <c r="CB189" s="3">
        <v>9.9999999999999999E-132</v>
      </c>
      <c r="CC189" t="s">
        <v>8</v>
      </c>
      <c r="CD189"/>
      <c r="CE189"/>
      <c r="CF189" t="s">
        <v>8</v>
      </c>
      <c r="CG189"/>
      <c r="CH189"/>
      <c r="CI189" t="s">
        <v>8</v>
      </c>
      <c r="CJ189"/>
      <c r="CK189" t="s">
        <v>8</v>
      </c>
      <c r="CL189"/>
      <c r="CM189" t="s">
        <v>8</v>
      </c>
      <c r="CN189"/>
      <c r="CO189" t="s">
        <v>8</v>
      </c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 t="s">
        <v>8</v>
      </c>
      <c r="DD189"/>
      <c r="DE189"/>
      <c r="DF189"/>
      <c r="DG189"/>
      <c r="DH189"/>
      <c r="DI189"/>
      <c r="DJ189"/>
      <c r="DK189"/>
      <c r="DL189"/>
      <c r="DM189"/>
      <c r="DN189"/>
      <c r="DO189"/>
      <c r="DP189"/>
    </row>
    <row r="190" spans="1:120" s="6" customFormat="1">
      <c r="A190" s="6" t="str">
        <f>HYPERLINK(".\links\pep\TI-321-pep.txt","TI-321")</f>
        <v>TI-321</v>
      </c>
      <c r="B190" s="6">
        <v>321</v>
      </c>
      <c r="C190" s="6" t="s">
        <v>17</v>
      </c>
      <c r="D190" s="6">
        <v>56</v>
      </c>
      <c r="E190" s="6">
        <v>0</v>
      </c>
      <c r="F190" s="6" t="str">
        <f>HYPERLINK(".\links\cds\TI-321-cds.txt","TI-321")</f>
        <v>TI-321</v>
      </c>
      <c r="G190" s="6">
        <v>171</v>
      </c>
      <c r="I190" s="6" t="s">
        <v>8</v>
      </c>
      <c r="J190" s="6" t="s">
        <v>6</v>
      </c>
      <c r="K190" s="6">
        <v>1</v>
      </c>
      <c r="L190" s="6">
        <v>0</v>
      </c>
      <c r="M190" s="6">
        <f t="shared" si="10"/>
        <v>1</v>
      </c>
      <c r="N190" s="6">
        <f t="shared" si="11"/>
        <v>1</v>
      </c>
      <c r="O190" s="6" t="s">
        <v>1170</v>
      </c>
      <c r="P190" s="6" t="s">
        <v>1171</v>
      </c>
      <c r="T190" s="6" t="s">
        <v>8</v>
      </c>
      <c r="AK190" s="6" t="s">
        <v>8</v>
      </c>
      <c r="AY190" s="6" t="s">
        <v>8</v>
      </c>
      <c r="BL190" s="6" t="s">
        <v>8</v>
      </c>
      <c r="CC190" s="6" t="s">
        <v>8</v>
      </c>
      <c r="CF190" s="6" t="s">
        <v>8</v>
      </c>
      <c r="CI190" s="6" t="s">
        <v>8</v>
      </c>
      <c r="CK190" s="6" t="s">
        <v>8</v>
      </c>
      <c r="CM190" s="6" t="s">
        <v>8</v>
      </c>
      <c r="CO190" s="6" t="s">
        <v>8</v>
      </c>
      <c r="DC190" s="6" t="s">
        <v>8</v>
      </c>
    </row>
    <row r="191" spans="1:120" s="6" customFormat="1">
      <c r="A191" s="6" t="str">
        <f>HYPERLINK(".\links\pep\TI-322-pep.txt","TI-322")</f>
        <v>TI-322</v>
      </c>
      <c r="B191" s="6">
        <v>322</v>
      </c>
      <c r="C191" s="6" t="s">
        <v>19</v>
      </c>
      <c r="D191" s="6">
        <v>30</v>
      </c>
      <c r="E191" s="6">
        <v>0</v>
      </c>
      <c r="F191" s="6" t="str">
        <f>HYPERLINK(".\links\cds\TI-322-cds.txt","TI-322")</f>
        <v>TI-322</v>
      </c>
      <c r="G191" s="6">
        <v>93</v>
      </c>
      <c r="I191" s="6" t="s">
        <v>8</v>
      </c>
      <c r="J191" s="6" t="s">
        <v>6</v>
      </c>
      <c r="K191" s="6">
        <v>1</v>
      </c>
      <c r="L191" s="6">
        <v>0</v>
      </c>
      <c r="M191" s="6">
        <f t="shared" si="10"/>
        <v>1</v>
      </c>
      <c r="N191" s="6">
        <f t="shared" si="11"/>
        <v>1</v>
      </c>
      <c r="O191" s="6" t="s">
        <v>1170</v>
      </c>
      <c r="P191" s="6" t="s">
        <v>1171</v>
      </c>
      <c r="T191" s="6" t="s">
        <v>8</v>
      </c>
      <c r="AK191" s="6" t="s">
        <v>8</v>
      </c>
      <c r="AY191" s="6" t="s">
        <v>8</v>
      </c>
      <c r="BL191" s="6" t="s">
        <v>8</v>
      </c>
      <c r="CC191" s="6" t="s">
        <v>8</v>
      </c>
      <c r="CF191" s="6" t="s">
        <v>8</v>
      </c>
      <c r="CI191" s="6" t="s">
        <v>8</v>
      </c>
      <c r="CK191" s="6" t="s">
        <v>8</v>
      </c>
      <c r="CM191" s="6" t="s">
        <v>8</v>
      </c>
      <c r="CO191" s="6" t="s">
        <v>8</v>
      </c>
      <c r="DC191" s="6" t="s">
        <v>8</v>
      </c>
    </row>
    <row r="192" spans="1:120" s="6" customFormat="1">
      <c r="A192" t="str">
        <f>HYPERLINK(".\links\pep\TI-323-pep.txt","TI-323")</f>
        <v>TI-323</v>
      </c>
      <c r="B192">
        <v>323</v>
      </c>
      <c r="C192" t="s">
        <v>12</v>
      </c>
      <c r="D192">
        <v>77</v>
      </c>
      <c r="E192">
        <v>0</v>
      </c>
      <c r="F192" t="str">
        <f>HYPERLINK(".\links\cds\TI-323-cds.txt","TI-323")</f>
        <v>TI-323</v>
      </c>
      <c r="G192">
        <v>234</v>
      </c>
      <c r="H192"/>
      <c r="I192" t="s">
        <v>8</v>
      </c>
      <c r="J192" t="s">
        <v>6</v>
      </c>
      <c r="K192">
        <v>1</v>
      </c>
      <c r="L192">
        <v>0</v>
      </c>
      <c r="M192">
        <f t="shared" si="10"/>
        <v>1</v>
      </c>
      <c r="N192">
        <f t="shared" si="11"/>
        <v>1</v>
      </c>
      <c r="O192" t="s">
        <v>1318</v>
      </c>
      <c r="P192" t="s">
        <v>1178</v>
      </c>
      <c r="Q192" t="str">
        <f>HYPERLINK(".\links\NR-LIGHT\TI-323-NR-LIGHT.txt","NR-LIGHT")</f>
        <v>NR-LIGHT</v>
      </c>
      <c r="R192" s="3">
        <v>9.9999999999999994E-30</v>
      </c>
      <c r="S192">
        <v>95</v>
      </c>
      <c r="T192" t="str">
        <f>HYPERLINK(".\links\NR-LIGHT\TI-323-NR-LIGHT.txt","bladder cancer-associated protein-like")</f>
        <v>bladder cancer-associated protein-like</v>
      </c>
      <c r="U192" t="str">
        <f>HYPERLINK("http://www.ncbi.nlm.nih.gov/sutils/blink.cgi?pid=328786409","1E-029")</f>
        <v>1E-029</v>
      </c>
      <c r="V192" t="str">
        <f>HYPERLINK("http://www.ncbi.nlm.nih.gov/protein/328786409","gi|328786409")</f>
        <v>gi|328786409</v>
      </c>
      <c r="W192">
        <v>130</v>
      </c>
      <c r="X192">
        <v>75</v>
      </c>
      <c r="Y192">
        <v>80</v>
      </c>
      <c r="Z192">
        <v>77</v>
      </c>
      <c r="AA192">
        <v>95</v>
      </c>
      <c r="AB192">
        <v>17</v>
      </c>
      <c r="AC192">
        <v>0</v>
      </c>
      <c r="AD192">
        <v>5</v>
      </c>
      <c r="AE192">
        <v>2</v>
      </c>
      <c r="AF192">
        <v>1</v>
      </c>
      <c r="AG192"/>
      <c r="AH192" t="s">
        <v>13</v>
      </c>
      <c r="AI192" t="s">
        <v>51</v>
      </c>
      <c r="AJ192" t="s">
        <v>83</v>
      </c>
      <c r="AK192" t="str">
        <f>HYPERLINK(".\links\SWISSP\TI-323-SWISSP.txt","Bladder cancer-associated protein OS=Rattus norvegicus GN=Blcap PE=2 SV=1")</f>
        <v>Bladder cancer-associated protein OS=Rattus norvegicus GN=Blcap PE=2 SV=1</v>
      </c>
      <c r="AL192" t="str">
        <f>HYPERLINK("http://www.uniprot.org/uniprot/P62950","2E-016")</f>
        <v>2E-016</v>
      </c>
      <c r="AM192" t="s">
        <v>195</v>
      </c>
      <c r="AN192">
        <v>84.3</v>
      </c>
      <c r="AO192">
        <v>68</v>
      </c>
      <c r="AP192">
        <v>87</v>
      </c>
      <c r="AQ192">
        <v>55</v>
      </c>
      <c r="AR192">
        <v>79</v>
      </c>
      <c r="AS192">
        <v>34</v>
      </c>
      <c r="AT192">
        <v>7</v>
      </c>
      <c r="AU192">
        <v>5</v>
      </c>
      <c r="AV192">
        <v>2</v>
      </c>
      <c r="AW192">
        <v>1</v>
      </c>
      <c r="AX192" t="s">
        <v>74</v>
      </c>
      <c r="AY192" t="str">
        <f>HYPERLINK(".\links\PREV-RHOD-PEP\TI-323-PREV-RHOD-PEP.txt","Contig17383_11")</f>
        <v>Contig17383_11</v>
      </c>
      <c r="AZ192" s="3">
        <v>1.0000000000000001E-37</v>
      </c>
      <c r="BA192" t="s">
        <v>1111</v>
      </c>
      <c r="BB192">
        <v>150</v>
      </c>
      <c r="BC192">
        <v>75</v>
      </c>
      <c r="BD192">
        <v>80</v>
      </c>
      <c r="BE192">
        <v>96</v>
      </c>
      <c r="BF192">
        <v>95</v>
      </c>
      <c r="BG192">
        <v>3</v>
      </c>
      <c r="BH192">
        <v>0</v>
      </c>
      <c r="BI192">
        <v>5</v>
      </c>
      <c r="BJ192">
        <v>2</v>
      </c>
      <c r="BK192">
        <v>1</v>
      </c>
      <c r="BL192" t="s">
        <v>804</v>
      </c>
      <c r="BM192">
        <f>HYPERLINK(".\links\GO\TI-323-GO.txt",0.00000000000000005)</f>
        <v>4.9999999999999999E-17</v>
      </c>
      <c r="BN192" t="s">
        <v>373</v>
      </c>
      <c r="BO192" t="s">
        <v>373</v>
      </c>
      <c r="BP192"/>
      <c r="BQ192" t="s">
        <v>374</v>
      </c>
      <c r="BR192" s="3">
        <v>4.9999999999999999E-17</v>
      </c>
      <c r="BS192" t="s">
        <v>8</v>
      </c>
      <c r="BT192" t="s">
        <v>8</v>
      </c>
      <c r="BU192" t="s">
        <v>8</v>
      </c>
      <c r="BV192" t="s">
        <v>8</v>
      </c>
      <c r="BW192" t="s">
        <v>8</v>
      </c>
      <c r="BX192" t="s">
        <v>380</v>
      </c>
      <c r="BY192" t="s">
        <v>373</v>
      </c>
      <c r="BZ192"/>
      <c r="CA192" t="s">
        <v>381</v>
      </c>
      <c r="CB192" s="3">
        <v>4.9999999999999999E-17</v>
      </c>
      <c r="CC192" t="s">
        <v>8</v>
      </c>
      <c r="CD192"/>
      <c r="CE192"/>
      <c r="CF192" t="s">
        <v>8</v>
      </c>
      <c r="CG192"/>
      <c r="CH192"/>
      <c r="CI192" t="s">
        <v>8</v>
      </c>
      <c r="CJ192"/>
      <c r="CK192" t="s">
        <v>8</v>
      </c>
      <c r="CL192"/>
      <c r="CM192" t="s">
        <v>8</v>
      </c>
      <c r="CN192"/>
      <c r="CO192" t="s">
        <v>8</v>
      </c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 t="s">
        <v>8</v>
      </c>
      <c r="DD192"/>
      <c r="DE192"/>
      <c r="DF192"/>
      <c r="DG192"/>
      <c r="DH192"/>
      <c r="DI192"/>
      <c r="DJ192"/>
      <c r="DK192"/>
      <c r="DL192"/>
      <c r="DM192"/>
      <c r="DN192"/>
      <c r="DO192"/>
      <c r="DP192"/>
    </row>
    <row r="193" spans="1:120" s="6" customFormat="1">
      <c r="A193" t="str">
        <f>HYPERLINK(".\links\pep\TI-324-pep.txt","TI-324")</f>
        <v>TI-324</v>
      </c>
      <c r="B193">
        <v>324</v>
      </c>
      <c r="C193" t="s">
        <v>7</v>
      </c>
      <c r="D193">
        <v>247</v>
      </c>
      <c r="E193">
        <v>0</v>
      </c>
      <c r="F193" t="str">
        <f>HYPERLINK(".\links\cds\TI-324-cds.txt","TI-324")</f>
        <v>TI-324</v>
      </c>
      <c r="G193">
        <v>744</v>
      </c>
      <c r="H193"/>
      <c r="I193" t="s">
        <v>29</v>
      </c>
      <c r="J193" t="s">
        <v>6</v>
      </c>
      <c r="K193">
        <v>3</v>
      </c>
      <c r="L193">
        <v>0</v>
      </c>
      <c r="M193">
        <f t="shared" si="10"/>
        <v>3</v>
      </c>
      <c r="N193">
        <f t="shared" si="11"/>
        <v>3</v>
      </c>
      <c r="O193" t="s">
        <v>1222</v>
      </c>
      <c r="P193" t="s">
        <v>1175</v>
      </c>
      <c r="Q193" t="str">
        <f>HYPERLINK(".\links\NR-LIGHT\TI-324-NR-LIGHT.txt","NR-LIGHT")</f>
        <v>NR-LIGHT</v>
      </c>
      <c r="R193">
        <v>0</v>
      </c>
      <c r="S193">
        <v>93.9</v>
      </c>
      <c r="T193" t="str">
        <f>HYPERLINK(".\links\NR-LIGHT\TI-324-NR-LIGHT.txt","multifunctional chaperone")</f>
        <v>multifunctional chaperone</v>
      </c>
      <c r="U193" t="str">
        <f>HYPERLINK("http://www.ncbi.nlm.nih.gov/sutils/blink.cgi?pid=263173438","1E-130")</f>
        <v>1E-130</v>
      </c>
      <c r="V193" t="str">
        <f>HYPERLINK("http://www.ncbi.nlm.nih.gov/protein/263173438","gi|263173438")</f>
        <v>gi|263173438</v>
      </c>
      <c r="W193">
        <v>468</v>
      </c>
      <c r="X193">
        <v>231</v>
      </c>
      <c r="Y193">
        <v>247</v>
      </c>
      <c r="Z193">
        <v>98</v>
      </c>
      <c r="AA193">
        <v>94</v>
      </c>
      <c r="AB193">
        <v>4</v>
      </c>
      <c r="AC193">
        <v>0</v>
      </c>
      <c r="AD193">
        <v>1</v>
      </c>
      <c r="AE193">
        <v>1</v>
      </c>
      <c r="AF193">
        <v>1</v>
      </c>
      <c r="AG193"/>
      <c r="AH193" t="s">
        <v>13</v>
      </c>
      <c r="AI193" t="s">
        <v>51</v>
      </c>
      <c r="AJ193" t="s">
        <v>280</v>
      </c>
      <c r="AK193" t="str">
        <f>HYPERLINK(".\links\SWISSP\TI-324-SWISSP.txt","14-3-3 protein zeta OS=Bombyx mori GN=14-3-3zeta PE=2 SV=2")</f>
        <v>14-3-3 protein zeta OS=Bombyx mori GN=14-3-3zeta PE=2 SV=2</v>
      </c>
      <c r="AL193" t="str">
        <f>HYPERLINK("http://www.uniprot.org/uniprot/Q2F637","1E-124")</f>
        <v>1E-124</v>
      </c>
      <c r="AM193" t="s">
        <v>196</v>
      </c>
      <c r="AN193">
        <v>444</v>
      </c>
      <c r="AO193">
        <v>231</v>
      </c>
      <c r="AP193">
        <v>247</v>
      </c>
      <c r="AQ193">
        <v>92</v>
      </c>
      <c r="AR193">
        <v>94</v>
      </c>
      <c r="AS193">
        <v>17</v>
      </c>
      <c r="AT193">
        <v>0</v>
      </c>
      <c r="AU193">
        <v>1</v>
      </c>
      <c r="AV193">
        <v>1</v>
      </c>
      <c r="AW193">
        <v>1</v>
      </c>
      <c r="AX193" t="s">
        <v>54</v>
      </c>
      <c r="AY193" t="str">
        <f>HYPERLINK(".\links\PREV-RHOD-PEP\TI-324-PREV-RHOD-PEP.txt","Contig17897_7")</f>
        <v>Contig17897_7</v>
      </c>
      <c r="AZ193" s="3">
        <v>1E-134</v>
      </c>
      <c r="BA193" t="s">
        <v>1112</v>
      </c>
      <c r="BB193">
        <v>472</v>
      </c>
      <c r="BC193">
        <v>231</v>
      </c>
      <c r="BD193">
        <v>247</v>
      </c>
      <c r="BE193">
        <v>99</v>
      </c>
      <c r="BF193">
        <v>94</v>
      </c>
      <c r="BG193">
        <v>2</v>
      </c>
      <c r="BH193">
        <v>0</v>
      </c>
      <c r="BI193">
        <v>1</v>
      </c>
      <c r="BJ193">
        <v>1</v>
      </c>
      <c r="BK193">
        <v>1</v>
      </c>
      <c r="BL193" t="s">
        <v>805</v>
      </c>
      <c r="BM193">
        <f>HYPERLINK(".\links\GO\TI-324-GO.txt",0)</f>
        <v>0</v>
      </c>
      <c r="BN193" t="s">
        <v>806</v>
      </c>
      <c r="BO193" t="s">
        <v>463</v>
      </c>
      <c r="BP193" t="s">
        <v>807</v>
      </c>
      <c r="BQ193" t="s">
        <v>808</v>
      </c>
      <c r="BR193" s="3">
        <v>1.0000000000000001E-122</v>
      </c>
      <c r="BS193" t="s">
        <v>447</v>
      </c>
      <c r="BT193" t="s">
        <v>323</v>
      </c>
      <c r="BU193" t="s">
        <v>334</v>
      </c>
      <c r="BV193" t="s">
        <v>448</v>
      </c>
      <c r="BW193" s="3">
        <v>1.0000000000000001E-122</v>
      </c>
      <c r="BX193" t="s">
        <v>809</v>
      </c>
      <c r="BY193" t="s">
        <v>463</v>
      </c>
      <c r="BZ193" t="s">
        <v>807</v>
      </c>
      <c r="CA193" t="s">
        <v>810</v>
      </c>
      <c r="CB193" s="3">
        <v>1.0000000000000001E-122</v>
      </c>
      <c r="CC193" t="s">
        <v>8</v>
      </c>
      <c r="CD193"/>
      <c r="CE193"/>
      <c r="CF193" t="s">
        <v>8</v>
      </c>
      <c r="CG193"/>
      <c r="CH193"/>
      <c r="CI193" t="s">
        <v>8</v>
      </c>
      <c r="CJ193"/>
      <c r="CK193" t="s">
        <v>8</v>
      </c>
      <c r="CL193"/>
      <c r="CM193" t="s">
        <v>8</v>
      </c>
      <c r="CN193"/>
      <c r="CO193" t="s">
        <v>8</v>
      </c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 t="s">
        <v>8</v>
      </c>
      <c r="DD193"/>
      <c r="DE193"/>
      <c r="DF193"/>
      <c r="DG193"/>
      <c r="DH193"/>
      <c r="DI193"/>
      <c r="DJ193"/>
      <c r="DK193"/>
      <c r="DL193"/>
      <c r="DM193"/>
      <c r="DN193"/>
      <c r="DO193"/>
      <c r="DP193"/>
    </row>
    <row r="194" spans="1:120" s="6" customFormat="1">
      <c r="A194" t="str">
        <f>HYPERLINK(".\links\pep\TI-326-pep.txt","TI-326")</f>
        <v>TI-326</v>
      </c>
      <c r="B194">
        <v>326</v>
      </c>
      <c r="C194" t="s">
        <v>19</v>
      </c>
      <c r="D194">
        <v>130</v>
      </c>
      <c r="E194">
        <v>0</v>
      </c>
      <c r="F194" t="str">
        <f>HYPERLINK(".\links\cds\TI-326-cds.txt","TI-326")</f>
        <v>TI-326</v>
      </c>
      <c r="G194">
        <v>393</v>
      </c>
      <c r="H194"/>
      <c r="I194" t="s">
        <v>8</v>
      </c>
      <c r="J194" t="s">
        <v>6</v>
      </c>
      <c r="K194">
        <v>0</v>
      </c>
      <c r="L194">
        <v>1</v>
      </c>
      <c r="M194">
        <f t="shared" si="10"/>
        <v>-1</v>
      </c>
      <c r="N194">
        <f t="shared" si="11"/>
        <v>1</v>
      </c>
      <c r="O194" t="s">
        <v>1319</v>
      </c>
      <c r="P194" t="s">
        <v>1169</v>
      </c>
      <c r="Q194" t="str">
        <f>HYPERLINK(".\links\NR-LIGHT\TI-326-NR-LIGHT.txt","NR-LIGHT")</f>
        <v>NR-LIGHT</v>
      </c>
      <c r="R194" s="3">
        <v>6.0000000000000003E-70</v>
      </c>
      <c r="S194">
        <v>28.1</v>
      </c>
      <c r="T194" t="str">
        <f>HYPERLINK(".\links\NR-LIGHT\TI-326-NR-LIGHT.txt","putative elongation factor 1-alpha")</f>
        <v>putative elongation factor 1-alpha</v>
      </c>
      <c r="U194" t="str">
        <f>HYPERLINK("http://www.ncbi.nlm.nih.gov/sutils/blink.cgi?pid=307095102","6E-070")</f>
        <v>6E-070</v>
      </c>
      <c r="V194" t="str">
        <f>HYPERLINK("http://www.ncbi.nlm.nih.gov/protein/307095102","gi|307095102")</f>
        <v>gi|307095102</v>
      </c>
      <c r="W194">
        <v>264</v>
      </c>
      <c r="X194">
        <v>129</v>
      </c>
      <c r="Y194">
        <v>462</v>
      </c>
      <c r="Z194">
        <v>98</v>
      </c>
      <c r="AA194">
        <v>28</v>
      </c>
      <c r="AB194">
        <v>2</v>
      </c>
      <c r="AC194">
        <v>0</v>
      </c>
      <c r="AD194">
        <v>333</v>
      </c>
      <c r="AE194">
        <v>1</v>
      </c>
      <c r="AF194">
        <v>1</v>
      </c>
      <c r="AG194"/>
      <c r="AH194" t="s">
        <v>13</v>
      </c>
      <c r="AI194" t="s">
        <v>51</v>
      </c>
      <c r="AJ194" t="s">
        <v>278</v>
      </c>
      <c r="AK194" t="str">
        <f>HYPERLINK(".\links\SWISSP\TI-326-SWISSP.txt","Elongation factor 1-alpha 1 OS=Drosophila melanogaster GN=Ef1alpha48D PE=1 SV=2")</f>
        <v>Elongation factor 1-alpha 1 OS=Drosophila melanogaster GN=Ef1alpha48D PE=1 SV=2</v>
      </c>
      <c r="AL194" t="str">
        <f>HYPERLINK("http://www.uniprot.org/uniprot/P08736","5E-062")</f>
        <v>5E-062</v>
      </c>
      <c r="AM194" t="s">
        <v>197</v>
      </c>
      <c r="AN194">
        <v>235</v>
      </c>
      <c r="AO194">
        <v>129</v>
      </c>
      <c r="AP194">
        <v>463</v>
      </c>
      <c r="AQ194">
        <v>86</v>
      </c>
      <c r="AR194">
        <v>28</v>
      </c>
      <c r="AS194">
        <v>18</v>
      </c>
      <c r="AT194">
        <v>0</v>
      </c>
      <c r="AU194">
        <v>333</v>
      </c>
      <c r="AV194">
        <v>1</v>
      </c>
      <c r="AW194">
        <v>1</v>
      </c>
      <c r="AX194" t="s">
        <v>52</v>
      </c>
      <c r="AY194" t="str">
        <f>HYPERLINK(".\links\PREV-RHOD-PEP\TI-326-PREV-RHOD-PEP.txt","Contig17792_130")</f>
        <v>Contig17792_130</v>
      </c>
      <c r="AZ194" s="3">
        <v>1.9999999999999999E-44</v>
      </c>
      <c r="BA194" t="s">
        <v>1113</v>
      </c>
      <c r="BB194">
        <v>173</v>
      </c>
      <c r="BC194">
        <v>98</v>
      </c>
      <c r="BD194">
        <v>441</v>
      </c>
      <c r="BE194">
        <v>74</v>
      </c>
      <c r="BF194">
        <v>22</v>
      </c>
      <c r="BG194">
        <v>31</v>
      </c>
      <c r="BH194">
        <v>21</v>
      </c>
      <c r="BI194">
        <v>333</v>
      </c>
      <c r="BJ194">
        <v>1</v>
      </c>
      <c r="BK194">
        <v>1</v>
      </c>
      <c r="BL194" t="s">
        <v>811</v>
      </c>
      <c r="BM194">
        <f>HYPERLINK(".\links\GO\TI-326-GO.txt",1E-62)</f>
        <v>1E-62</v>
      </c>
      <c r="BN194" t="s">
        <v>812</v>
      </c>
      <c r="BO194" t="s">
        <v>635</v>
      </c>
      <c r="BP194" t="s">
        <v>636</v>
      </c>
      <c r="BQ194" t="s">
        <v>813</v>
      </c>
      <c r="BR194" s="3">
        <v>1E-62</v>
      </c>
      <c r="BS194" t="s">
        <v>431</v>
      </c>
      <c r="BT194" t="s">
        <v>323</v>
      </c>
      <c r="BU194" t="s">
        <v>334</v>
      </c>
      <c r="BV194" t="s">
        <v>432</v>
      </c>
      <c r="BW194" s="3">
        <v>1E-62</v>
      </c>
      <c r="BX194" t="s">
        <v>814</v>
      </c>
      <c r="BY194" t="s">
        <v>635</v>
      </c>
      <c r="BZ194" t="s">
        <v>636</v>
      </c>
      <c r="CA194" t="s">
        <v>815</v>
      </c>
      <c r="CB194" s="3">
        <v>1E-62</v>
      </c>
      <c r="CC194" t="s">
        <v>8</v>
      </c>
      <c r="CD194"/>
      <c r="CE194"/>
      <c r="CF194" t="s">
        <v>8</v>
      </c>
      <c r="CG194"/>
      <c r="CH194"/>
      <c r="CI194" t="s">
        <v>8</v>
      </c>
      <c r="CJ194"/>
      <c r="CK194" t="s">
        <v>8</v>
      </c>
      <c r="CL194"/>
      <c r="CM194" t="s">
        <v>8</v>
      </c>
      <c r="CN194"/>
      <c r="CO194" t="s">
        <v>8</v>
      </c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 t="s">
        <v>8</v>
      </c>
      <c r="DD194"/>
      <c r="DE194"/>
      <c r="DF194"/>
      <c r="DG194"/>
      <c r="DH194"/>
      <c r="DI194"/>
      <c r="DJ194"/>
      <c r="DK194"/>
      <c r="DL194"/>
      <c r="DM194"/>
      <c r="DN194"/>
      <c r="DO194"/>
      <c r="DP194"/>
    </row>
    <row r="195" spans="1:120" s="6" customFormat="1">
      <c r="A195" s="6" t="str">
        <f>HYPERLINK(".\links\pep\TI-327-pep.txt","TI-327")</f>
        <v>TI-327</v>
      </c>
      <c r="B195" s="6">
        <v>327</v>
      </c>
      <c r="C195" s="6" t="s">
        <v>22</v>
      </c>
      <c r="D195" s="6">
        <v>30</v>
      </c>
      <c r="E195" s="6">
        <v>0</v>
      </c>
      <c r="F195" s="6" t="str">
        <f>HYPERLINK(".\links\cds\TI-327-cds.txt","TI-327")</f>
        <v>TI-327</v>
      </c>
      <c r="G195" s="6">
        <v>93</v>
      </c>
      <c r="I195" s="6" t="s">
        <v>8</v>
      </c>
      <c r="J195" s="6" t="s">
        <v>6</v>
      </c>
      <c r="K195" s="6">
        <v>1</v>
      </c>
      <c r="L195" s="6">
        <v>0</v>
      </c>
      <c r="M195" s="6">
        <f t="shared" si="10"/>
        <v>1</v>
      </c>
      <c r="N195" s="6">
        <f t="shared" si="11"/>
        <v>1</v>
      </c>
      <c r="O195" s="6" t="s">
        <v>1170</v>
      </c>
      <c r="P195" s="6" t="s">
        <v>1171</v>
      </c>
      <c r="T195" s="6" t="s">
        <v>8</v>
      </c>
      <c r="AK195" s="6" t="s">
        <v>8</v>
      </c>
      <c r="AY195" s="6" t="s">
        <v>8</v>
      </c>
      <c r="BL195" s="6" t="s">
        <v>8</v>
      </c>
      <c r="CC195" s="6" t="s">
        <v>8</v>
      </c>
      <c r="CF195" s="6" t="s">
        <v>8</v>
      </c>
      <c r="CI195" s="6" t="s">
        <v>8</v>
      </c>
      <c r="CK195" s="6" t="s">
        <v>8</v>
      </c>
      <c r="CM195" s="6" t="s">
        <v>8</v>
      </c>
      <c r="CO195" s="6" t="s">
        <v>8</v>
      </c>
      <c r="DC195" s="6" t="s">
        <v>8</v>
      </c>
    </row>
    <row r="196" spans="1:120" s="6" customFormat="1">
      <c r="A196" s="6" t="str">
        <f>HYPERLINK(".\links\pep\TI-328-pep.txt","TI-328")</f>
        <v>TI-328</v>
      </c>
      <c r="B196" s="6">
        <v>328</v>
      </c>
      <c r="C196" s="6" t="s">
        <v>23</v>
      </c>
      <c r="D196" s="6">
        <v>115</v>
      </c>
      <c r="E196" s="7">
        <v>5.2173910000000001</v>
      </c>
      <c r="F196" s="6" t="str">
        <f>HYPERLINK(".\links\cds\TI-328-cds.txt","TI-328")</f>
        <v>TI-328</v>
      </c>
      <c r="G196" s="6">
        <v>348</v>
      </c>
      <c r="I196" s="6" t="s">
        <v>8</v>
      </c>
      <c r="J196" s="6" t="s">
        <v>6</v>
      </c>
      <c r="K196" s="6">
        <v>1</v>
      </c>
      <c r="L196" s="6">
        <v>0</v>
      </c>
      <c r="M196" s="6">
        <f t="shared" si="10"/>
        <v>1</v>
      </c>
      <c r="N196" s="6">
        <f t="shared" si="11"/>
        <v>1</v>
      </c>
      <c r="O196" s="6" t="s">
        <v>1170</v>
      </c>
      <c r="P196" s="6" t="s">
        <v>1171</v>
      </c>
      <c r="T196" s="6" t="s">
        <v>8</v>
      </c>
      <c r="AK196" s="6" t="s">
        <v>8</v>
      </c>
      <c r="AY196" s="6" t="s">
        <v>8</v>
      </c>
      <c r="BL196" s="6" t="s">
        <v>8</v>
      </c>
      <c r="CC196" s="6" t="s">
        <v>8</v>
      </c>
      <c r="CF196" s="6" t="s">
        <v>8</v>
      </c>
      <c r="CI196" s="6" t="s">
        <v>8</v>
      </c>
      <c r="CK196" s="6" t="s">
        <v>8</v>
      </c>
      <c r="CM196" s="6" t="s">
        <v>8</v>
      </c>
      <c r="CO196" s="6" t="s">
        <v>8</v>
      </c>
      <c r="DC196" s="6" t="s">
        <v>8</v>
      </c>
    </row>
    <row r="197" spans="1:120" s="6" customFormat="1">
      <c r="A197" s="6" t="str">
        <f>HYPERLINK(".\links\pep\TI-330-pep.txt","TI-330")</f>
        <v>TI-330</v>
      </c>
      <c r="B197" s="6">
        <v>330</v>
      </c>
      <c r="C197" s="6" t="s">
        <v>10</v>
      </c>
      <c r="D197" s="6">
        <v>54</v>
      </c>
      <c r="E197" s="6">
        <v>0</v>
      </c>
      <c r="F197" s="6" t="str">
        <f>HYPERLINK(".\links\cds\TI-330-cds.txt","TI-330")</f>
        <v>TI-330</v>
      </c>
      <c r="G197" s="6">
        <v>159</v>
      </c>
      <c r="I197" s="6" t="s">
        <v>8</v>
      </c>
      <c r="J197" s="6" t="s">
        <v>8</v>
      </c>
      <c r="K197" s="6">
        <v>1</v>
      </c>
      <c r="L197" s="6">
        <v>0</v>
      </c>
      <c r="M197" s="6">
        <f t="shared" si="10"/>
        <v>1</v>
      </c>
      <c r="N197" s="6">
        <f t="shared" si="11"/>
        <v>1</v>
      </c>
      <c r="O197" s="6" t="s">
        <v>1170</v>
      </c>
      <c r="P197" s="6" t="s">
        <v>1171</v>
      </c>
      <c r="T197" s="6" t="s">
        <v>8</v>
      </c>
      <c r="AK197" s="6" t="s">
        <v>8</v>
      </c>
      <c r="AY197" s="6" t="s">
        <v>8</v>
      </c>
      <c r="BL197" s="6" t="s">
        <v>8</v>
      </c>
      <c r="CC197" s="6" t="s">
        <v>8</v>
      </c>
      <c r="CF197" s="6" t="s">
        <v>8</v>
      </c>
      <c r="CI197" s="6" t="s">
        <v>8</v>
      </c>
      <c r="CK197" s="6" t="s">
        <v>8</v>
      </c>
      <c r="CM197" s="6" t="s">
        <v>8</v>
      </c>
      <c r="CO197" s="6" t="s">
        <v>8</v>
      </c>
      <c r="DC197" s="6" t="s">
        <v>8</v>
      </c>
    </row>
    <row r="198" spans="1:120" s="6" customFormat="1">
      <c r="A198" s="6" t="str">
        <f>HYPERLINK(".\links\pep\TI-331-pep.txt","TI-331")</f>
        <v>TI-331</v>
      </c>
      <c r="B198" s="6">
        <v>331</v>
      </c>
      <c r="C198" s="6" t="s">
        <v>12</v>
      </c>
      <c r="D198" s="6">
        <v>48</v>
      </c>
      <c r="E198" s="6">
        <v>0</v>
      </c>
      <c r="F198" s="6" t="str">
        <f>HYPERLINK(".\links\cds\TI-331-cds.txt","TI-331")</f>
        <v>TI-331</v>
      </c>
      <c r="G198" s="6">
        <v>69</v>
      </c>
      <c r="I198" s="6" t="s">
        <v>8</v>
      </c>
      <c r="J198" s="6" t="s">
        <v>8</v>
      </c>
      <c r="K198" s="6">
        <v>0</v>
      </c>
      <c r="L198" s="6">
        <v>1</v>
      </c>
      <c r="M198" s="6">
        <f t="shared" si="10"/>
        <v>-1</v>
      </c>
      <c r="N198" s="6">
        <f t="shared" si="11"/>
        <v>1</v>
      </c>
      <c r="O198" s="6" t="s">
        <v>1170</v>
      </c>
      <c r="P198" s="6" t="s">
        <v>1171</v>
      </c>
      <c r="T198" s="6" t="s">
        <v>8</v>
      </c>
      <c r="AK198" s="6" t="s">
        <v>8</v>
      </c>
      <c r="AY198" s="6" t="s">
        <v>8</v>
      </c>
      <c r="BL198" s="6" t="s">
        <v>8</v>
      </c>
      <c r="CC198" s="6" t="s">
        <v>8</v>
      </c>
      <c r="CF198" s="6" t="s">
        <v>8</v>
      </c>
      <c r="CI198" s="6" t="s">
        <v>8</v>
      </c>
      <c r="CK198" s="6" t="s">
        <v>8</v>
      </c>
      <c r="CM198" s="6" t="s">
        <v>8</v>
      </c>
      <c r="CO198" s="6" t="s">
        <v>8</v>
      </c>
      <c r="DC198" s="6" t="s">
        <v>8</v>
      </c>
    </row>
    <row r="199" spans="1:120" s="6" customFormat="1">
      <c r="A199" t="str">
        <f>HYPERLINK(".\links\pep\TI-332-pep.txt","TI-332")</f>
        <v>TI-332</v>
      </c>
      <c r="B199">
        <v>332</v>
      </c>
      <c r="C199" t="s">
        <v>17</v>
      </c>
      <c r="D199">
        <v>157</v>
      </c>
      <c r="E199">
        <v>0</v>
      </c>
      <c r="F199" t="str">
        <f>HYPERLINK(".\links\cds\TI-332-cds.txt","TI-332")</f>
        <v>TI-332</v>
      </c>
      <c r="G199">
        <v>474</v>
      </c>
      <c r="H199"/>
      <c r="I199" t="s">
        <v>8</v>
      </c>
      <c r="J199" t="s">
        <v>6</v>
      </c>
      <c r="K199">
        <v>1</v>
      </c>
      <c r="L199">
        <v>0</v>
      </c>
      <c r="M199">
        <f t="shared" si="10"/>
        <v>1</v>
      </c>
      <c r="N199">
        <f t="shared" si="11"/>
        <v>1</v>
      </c>
      <c r="O199" t="s">
        <v>1223</v>
      </c>
      <c r="P199" t="s">
        <v>1187</v>
      </c>
      <c r="Q199" t="str">
        <f>HYPERLINK(".\links\GO\TI-332-GO.txt","GO")</f>
        <v>GO</v>
      </c>
      <c r="R199" s="3">
        <v>4E-79</v>
      </c>
      <c r="S199">
        <v>97.9</v>
      </c>
      <c r="T199" t="str">
        <f>HYPERLINK(".\links\NR-LIGHT\TI-332-NR-LIGHT.txt","effete")</f>
        <v>effete</v>
      </c>
      <c r="U199" t="str">
        <f>HYPERLINK("http://www.ncbi.nlm.nih.gov/sutils/blink.cgi?pid=24646906","5E-078")</f>
        <v>5E-078</v>
      </c>
      <c r="V199" t="str">
        <f>HYPERLINK("http://www.ncbi.nlm.nih.gov/protein/24646906","gi|24646906")</f>
        <v>gi|24646906</v>
      </c>
      <c r="W199">
        <v>291</v>
      </c>
      <c r="X199">
        <v>143</v>
      </c>
      <c r="Y199">
        <v>147</v>
      </c>
      <c r="Z199">
        <v>97</v>
      </c>
      <c r="AA199">
        <v>98</v>
      </c>
      <c r="AB199">
        <v>3</v>
      </c>
      <c r="AC199">
        <v>0</v>
      </c>
      <c r="AD199">
        <v>4</v>
      </c>
      <c r="AE199">
        <v>14</v>
      </c>
      <c r="AF199">
        <v>1</v>
      </c>
      <c r="AG199"/>
      <c r="AH199" t="s">
        <v>13</v>
      </c>
      <c r="AI199" t="s">
        <v>51</v>
      </c>
      <c r="AJ199" t="s">
        <v>295</v>
      </c>
      <c r="AK199" t="str">
        <f>HYPERLINK(".\links\SWISSP\TI-332-SWISSP.txt","Ubiquitin-conjugating enzyme E2-17 kDa OS=Drosophila melanogaster GN=eff PE=1")</f>
        <v>Ubiquitin-conjugating enzyme E2-17 kDa OS=Drosophila melanogaster GN=eff PE=1</v>
      </c>
      <c r="AL199" t="str">
        <f>HYPERLINK("http://www.uniprot.org/uniprot/P25867","1E-078")</f>
        <v>1E-078</v>
      </c>
      <c r="AM199" t="s">
        <v>198</v>
      </c>
      <c r="AN199">
        <v>291</v>
      </c>
      <c r="AO199">
        <v>143</v>
      </c>
      <c r="AP199">
        <v>147</v>
      </c>
      <c r="AQ199">
        <v>97</v>
      </c>
      <c r="AR199">
        <v>98</v>
      </c>
      <c r="AS199">
        <v>3</v>
      </c>
      <c r="AT199">
        <v>0</v>
      </c>
      <c r="AU199">
        <v>4</v>
      </c>
      <c r="AV199">
        <v>14</v>
      </c>
      <c r="AW199">
        <v>1</v>
      </c>
      <c r="AX199" t="s">
        <v>52</v>
      </c>
      <c r="AY199" t="str">
        <f>HYPERLINK(".\links\PREV-RHOD-PEP\TI-332-PREV-RHOD-PEP.txt","Contig18002_12")</f>
        <v>Contig18002_12</v>
      </c>
      <c r="AZ199" s="3">
        <v>9.0000000000000006E-80</v>
      </c>
      <c r="BA199" t="s">
        <v>1114</v>
      </c>
      <c r="BB199">
        <v>291</v>
      </c>
      <c r="BC199">
        <v>143</v>
      </c>
      <c r="BD199">
        <v>147</v>
      </c>
      <c r="BE199">
        <v>97</v>
      </c>
      <c r="BF199">
        <v>98</v>
      </c>
      <c r="BG199">
        <v>3</v>
      </c>
      <c r="BH199">
        <v>0</v>
      </c>
      <c r="BI199">
        <v>4</v>
      </c>
      <c r="BJ199">
        <v>14</v>
      </c>
      <c r="BK199">
        <v>1</v>
      </c>
      <c r="BL199" t="s">
        <v>816</v>
      </c>
      <c r="BM199">
        <f>HYPERLINK(".\links\GO\TI-332-GO.txt",4E-79)</f>
        <v>4E-79</v>
      </c>
      <c r="BN199" t="s">
        <v>8</v>
      </c>
      <c r="BO199" t="s">
        <v>8</v>
      </c>
      <c r="BP199" t="s">
        <v>8</v>
      </c>
      <c r="BQ199" t="s">
        <v>8</v>
      </c>
      <c r="BR199" t="s">
        <v>8</v>
      </c>
      <c r="BS199" t="s">
        <v>375</v>
      </c>
      <c r="BT199" t="s">
        <v>375</v>
      </c>
      <c r="BU199"/>
      <c r="BV199" t="s">
        <v>376</v>
      </c>
      <c r="BW199" s="3">
        <v>1.9999999999999999E-74</v>
      </c>
      <c r="BX199" t="s">
        <v>8</v>
      </c>
      <c r="BY199" t="s">
        <v>8</v>
      </c>
      <c r="BZ199" t="s">
        <v>8</v>
      </c>
      <c r="CA199" t="s">
        <v>8</v>
      </c>
      <c r="CB199" t="s">
        <v>8</v>
      </c>
      <c r="CC199" t="s">
        <v>8</v>
      </c>
      <c r="CD199"/>
      <c r="CE199"/>
      <c r="CF199" t="s">
        <v>8</v>
      </c>
      <c r="CG199"/>
      <c r="CH199"/>
      <c r="CI199" t="s">
        <v>8</v>
      </c>
      <c r="CJ199"/>
      <c r="CK199" t="s">
        <v>8</v>
      </c>
      <c r="CL199"/>
      <c r="CM199" t="s">
        <v>8</v>
      </c>
      <c r="CN199"/>
      <c r="CO199" t="s">
        <v>8</v>
      </c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 t="s">
        <v>8</v>
      </c>
      <c r="DD199"/>
      <c r="DE199"/>
      <c r="DF199"/>
      <c r="DG199"/>
      <c r="DH199"/>
      <c r="DI199"/>
      <c r="DJ199"/>
      <c r="DK199"/>
      <c r="DL199"/>
      <c r="DM199"/>
      <c r="DN199"/>
      <c r="DO199"/>
      <c r="DP199"/>
    </row>
    <row r="200" spans="1:120" s="6" customFormat="1">
      <c r="A200" s="6" t="str">
        <f>HYPERLINK(".\links\pep\TI-334-pep.txt","TI-334")</f>
        <v>TI-334</v>
      </c>
      <c r="B200" s="6">
        <v>334</v>
      </c>
      <c r="C200" s="6" t="s">
        <v>21</v>
      </c>
      <c r="D200" s="6">
        <v>106</v>
      </c>
      <c r="E200" s="6">
        <v>0</v>
      </c>
      <c r="F200" s="6" t="str">
        <f>HYPERLINK(".\links\cds\TI-334-cds.txt","TI-334")</f>
        <v>TI-334</v>
      </c>
      <c r="G200" s="6">
        <v>321</v>
      </c>
      <c r="I200" s="6" t="s">
        <v>8</v>
      </c>
      <c r="J200" s="6" t="s">
        <v>6</v>
      </c>
      <c r="K200" s="6">
        <v>1</v>
      </c>
      <c r="L200" s="6">
        <v>0</v>
      </c>
      <c r="M200" s="6">
        <f t="shared" si="10"/>
        <v>1</v>
      </c>
      <c r="N200" s="6">
        <f t="shared" si="11"/>
        <v>1</v>
      </c>
      <c r="O200" s="6" t="s">
        <v>1170</v>
      </c>
      <c r="P200" s="6" t="s">
        <v>1171</v>
      </c>
      <c r="T200" s="6" t="str">
        <f>HYPERLINK(".\links\NR-LIGHT\TI-334-NR-LIGHT.txt","Lian-Aa1 retrotransposon protein")</f>
        <v>Lian-Aa1 retrotransposon protein</v>
      </c>
      <c r="U200" s="6" t="str">
        <f>HYPERLINK("http://www.ncbi.nlm.nih.gov/sutils/blink.cgi?pid=2290213","3E-005")</f>
        <v>3E-005</v>
      </c>
      <c r="V200" s="6" t="str">
        <f>HYPERLINK("http://www.ncbi.nlm.nih.gov/protein/2290213","gi|2290213")</f>
        <v>gi|2290213</v>
      </c>
      <c r="W200" s="6">
        <v>49.3</v>
      </c>
      <c r="X200" s="6">
        <v>80</v>
      </c>
      <c r="Y200" s="6">
        <v>1189</v>
      </c>
      <c r="Z200" s="6">
        <v>32</v>
      </c>
      <c r="AA200" s="6">
        <v>7</v>
      </c>
      <c r="AB200" s="6">
        <v>55</v>
      </c>
      <c r="AC200" s="6">
        <v>0</v>
      </c>
      <c r="AD200" s="6">
        <v>1107</v>
      </c>
      <c r="AE200" s="6">
        <v>14</v>
      </c>
      <c r="AF200" s="6">
        <v>1</v>
      </c>
      <c r="AH200" s="6" t="s">
        <v>13</v>
      </c>
      <c r="AI200" s="6" t="s">
        <v>51</v>
      </c>
      <c r="AJ200" s="6" t="s">
        <v>76</v>
      </c>
      <c r="AK200" s="6" t="s">
        <v>8</v>
      </c>
      <c r="AY200" s="6" t="str">
        <f>HYPERLINK(".\links\PREV-RHOD-PEP\TI-334-PREV-RHOD-PEP.txt","Contig15973_8")</f>
        <v>Contig15973_8</v>
      </c>
      <c r="AZ200" s="8">
        <v>9.9999999999999998E-13</v>
      </c>
      <c r="BA200" s="6" t="s">
        <v>1115</v>
      </c>
      <c r="BB200" s="6">
        <v>68.2</v>
      </c>
      <c r="BC200" s="6">
        <v>77</v>
      </c>
      <c r="BD200" s="6">
        <v>207</v>
      </c>
      <c r="BE200" s="6">
        <v>41</v>
      </c>
      <c r="BF200" s="6">
        <v>38</v>
      </c>
      <c r="BG200" s="6">
        <v>46</v>
      </c>
      <c r="BH200" s="6">
        <v>0</v>
      </c>
      <c r="BI200" s="6">
        <v>70</v>
      </c>
      <c r="BJ200" s="6">
        <v>15</v>
      </c>
      <c r="BK200" s="6">
        <v>1</v>
      </c>
      <c r="BL200" s="6" t="s">
        <v>8</v>
      </c>
      <c r="CC200" s="6" t="s">
        <v>8</v>
      </c>
      <c r="CF200" s="6" t="s">
        <v>8</v>
      </c>
      <c r="CI200" s="6" t="s">
        <v>8</v>
      </c>
      <c r="CK200" s="6" t="s">
        <v>8</v>
      </c>
      <c r="CM200" s="6" t="s">
        <v>8</v>
      </c>
      <c r="CO200" s="6" t="s">
        <v>8</v>
      </c>
      <c r="DC200" s="6" t="s">
        <v>8</v>
      </c>
    </row>
    <row r="201" spans="1:120" s="6" customFormat="1">
      <c r="A201" t="str">
        <f>HYPERLINK(".\links\pep\TI-335-pep.txt","TI-335")</f>
        <v>TI-335</v>
      </c>
      <c r="B201">
        <v>335</v>
      </c>
      <c r="C201" t="s">
        <v>23</v>
      </c>
      <c r="D201">
        <v>128</v>
      </c>
      <c r="E201">
        <v>0</v>
      </c>
      <c r="F201" t="str">
        <f>HYPERLINK(".\links\cds\TI-335-cds.txt","TI-335")</f>
        <v>TI-335</v>
      </c>
      <c r="G201">
        <v>387</v>
      </c>
      <c r="H201"/>
      <c r="I201" t="s">
        <v>8</v>
      </c>
      <c r="J201" t="s">
        <v>6</v>
      </c>
      <c r="K201">
        <v>1</v>
      </c>
      <c r="L201">
        <v>0</v>
      </c>
      <c r="M201">
        <f t="shared" si="10"/>
        <v>1</v>
      </c>
      <c r="N201">
        <f t="shared" si="11"/>
        <v>1</v>
      </c>
      <c r="O201" t="s">
        <v>1320</v>
      </c>
      <c r="P201" t="s">
        <v>1173</v>
      </c>
      <c r="Q201" t="str">
        <f>HYPERLINK(".\links\NR-LIGHT\TI-335-NR-LIGHT.txt","NR-LIGHT")</f>
        <v>NR-LIGHT</v>
      </c>
      <c r="R201" s="3">
        <v>1.9999999999999999E-20</v>
      </c>
      <c r="S201">
        <v>33.5</v>
      </c>
      <c r="T201" t="str">
        <f>HYPERLINK(".\links\NR-LIGHT\TI-335-NR-LIGHT.txt","hypothetical protein TcasGA2_TC000236")</f>
        <v>hypothetical protein TcasGA2_TC000236</v>
      </c>
      <c r="U201" t="str">
        <f>HYPERLINK("http://www.ncbi.nlm.nih.gov/sutils/blink.cgi?pid=270001417","3E-021")</f>
        <v>3E-021</v>
      </c>
      <c r="V201" t="str">
        <f>HYPERLINK("http://www.ncbi.nlm.nih.gov/protein/270001417","gi|270001417")</f>
        <v>gi|270001417</v>
      </c>
      <c r="W201">
        <v>102</v>
      </c>
      <c r="X201">
        <v>107</v>
      </c>
      <c r="Y201">
        <v>304</v>
      </c>
      <c r="Z201">
        <v>46</v>
      </c>
      <c r="AA201">
        <v>36</v>
      </c>
      <c r="AB201">
        <v>59</v>
      </c>
      <c r="AC201">
        <v>4</v>
      </c>
      <c r="AD201">
        <v>197</v>
      </c>
      <c r="AE201">
        <v>9</v>
      </c>
      <c r="AF201">
        <v>1</v>
      </c>
      <c r="AG201"/>
      <c r="AH201" t="s">
        <v>13</v>
      </c>
      <c r="AI201" t="s">
        <v>51</v>
      </c>
      <c r="AJ201" t="s">
        <v>266</v>
      </c>
      <c r="AK201" t="str">
        <f>HYPERLINK(".\links\SWISSP\TI-335-SWISSP.txt","Lipase member H OS=Xenopus tropicalis GN=liph PE=2 SV=1")</f>
        <v>Lipase member H OS=Xenopus tropicalis GN=liph PE=2 SV=1</v>
      </c>
      <c r="AL201" t="str">
        <f>HYPERLINK("http://www.uniprot.org/uniprot/Q5XGE9","4E-010")</f>
        <v>4E-010</v>
      </c>
      <c r="AM201" t="s">
        <v>199</v>
      </c>
      <c r="AN201">
        <v>63.5</v>
      </c>
      <c r="AO201">
        <v>82</v>
      </c>
      <c r="AP201">
        <v>460</v>
      </c>
      <c r="AQ201">
        <v>39</v>
      </c>
      <c r="AR201">
        <v>18</v>
      </c>
      <c r="AS201">
        <v>51</v>
      </c>
      <c r="AT201">
        <v>6</v>
      </c>
      <c r="AU201">
        <v>210</v>
      </c>
      <c r="AV201">
        <v>9</v>
      </c>
      <c r="AW201">
        <v>1</v>
      </c>
      <c r="AX201" t="s">
        <v>100</v>
      </c>
      <c r="AY201" t="str">
        <f>HYPERLINK(".\links\PREV-RHOD-PEP\TI-335-PREV-RHOD-PEP.txt","Contig15864_4")</f>
        <v>Contig15864_4</v>
      </c>
      <c r="AZ201" s="3">
        <v>1.9999999999999999E-48</v>
      </c>
      <c r="BA201" t="s">
        <v>1116</v>
      </c>
      <c r="BB201">
        <v>186</v>
      </c>
      <c r="BC201">
        <v>743</v>
      </c>
      <c r="BD201">
        <v>907</v>
      </c>
      <c r="BE201">
        <v>74</v>
      </c>
      <c r="BF201">
        <v>82</v>
      </c>
      <c r="BG201">
        <v>29</v>
      </c>
      <c r="BH201">
        <v>0</v>
      </c>
      <c r="BI201">
        <v>163</v>
      </c>
      <c r="BJ201">
        <v>9</v>
      </c>
      <c r="BK201">
        <v>3</v>
      </c>
      <c r="BL201" t="s">
        <v>817</v>
      </c>
      <c r="BM201">
        <f>HYPERLINK(".\links\GO\TI-335-GO.txt",5E-20)</f>
        <v>4.9999999999999999E-20</v>
      </c>
      <c r="BN201" t="s">
        <v>818</v>
      </c>
      <c r="BO201" t="s">
        <v>345</v>
      </c>
      <c r="BP201" t="s">
        <v>349</v>
      </c>
      <c r="BQ201" t="s">
        <v>819</v>
      </c>
      <c r="BR201">
        <v>2.0000000000000001E-10</v>
      </c>
      <c r="BS201" t="s">
        <v>501</v>
      </c>
      <c r="BT201" t="s">
        <v>501</v>
      </c>
      <c r="BU201"/>
      <c r="BV201" t="s">
        <v>502</v>
      </c>
      <c r="BW201">
        <v>2.0000000000000001E-10</v>
      </c>
      <c r="BX201" t="s">
        <v>820</v>
      </c>
      <c r="BY201" t="s">
        <v>345</v>
      </c>
      <c r="BZ201" t="s">
        <v>349</v>
      </c>
      <c r="CA201" t="s">
        <v>821</v>
      </c>
      <c r="CB201">
        <v>2.0000000000000001E-10</v>
      </c>
      <c r="CC201" t="s">
        <v>8</v>
      </c>
      <c r="CD201"/>
      <c r="CE201"/>
      <c r="CF201" t="s">
        <v>8</v>
      </c>
      <c r="CG201"/>
      <c r="CH201"/>
      <c r="CI201" t="s">
        <v>8</v>
      </c>
      <c r="CJ201"/>
      <c r="CK201" t="s">
        <v>8</v>
      </c>
      <c r="CL201"/>
      <c r="CM201" t="s">
        <v>8</v>
      </c>
      <c r="CN201"/>
      <c r="CO201" t="s">
        <v>8</v>
      </c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 t="s">
        <v>8</v>
      </c>
      <c r="DD201"/>
      <c r="DE201"/>
      <c r="DF201"/>
      <c r="DG201"/>
      <c r="DH201"/>
      <c r="DI201"/>
      <c r="DJ201"/>
      <c r="DK201"/>
      <c r="DL201"/>
      <c r="DM201"/>
      <c r="DN201"/>
      <c r="DO201"/>
      <c r="DP201"/>
    </row>
    <row r="202" spans="1:120" s="6" customFormat="1">
      <c r="A202" t="str">
        <f>HYPERLINK(".\links\pep\TI-336-pep.txt","TI-336")</f>
        <v>TI-336</v>
      </c>
      <c r="B202">
        <v>336</v>
      </c>
      <c r="C202" t="s">
        <v>11</v>
      </c>
      <c r="D202">
        <v>42</v>
      </c>
      <c r="E202">
        <v>0</v>
      </c>
      <c r="F202" t="str">
        <f>HYPERLINK(".\links\cds\TI-336-cds.txt","TI-336")</f>
        <v>TI-336</v>
      </c>
      <c r="G202">
        <v>125</v>
      </c>
      <c r="H202"/>
      <c r="I202" t="s">
        <v>8</v>
      </c>
      <c r="J202" t="s">
        <v>8</v>
      </c>
      <c r="K202">
        <v>0</v>
      </c>
      <c r="L202">
        <v>1</v>
      </c>
      <c r="M202">
        <f t="shared" si="10"/>
        <v>-1</v>
      </c>
      <c r="N202">
        <f t="shared" si="11"/>
        <v>1</v>
      </c>
      <c r="O202" t="s">
        <v>1321</v>
      </c>
      <c r="P202" t="s">
        <v>1169</v>
      </c>
      <c r="Q202" t="str">
        <f>HYPERLINK(".\links\NR-LIGHT\TI-336-NR-LIGHT.txt","NR-LIGHT")</f>
        <v>NR-LIGHT</v>
      </c>
      <c r="R202" s="3">
        <v>1.0000000000000001E-17</v>
      </c>
      <c r="S202">
        <v>14.5</v>
      </c>
      <c r="T202" t="str">
        <f>HYPERLINK(".\links\NR-LIGHT\TI-336-NR-LIGHT.txt","ribosomal protein L5")</f>
        <v>ribosomal protein L5</v>
      </c>
      <c r="U202" t="str">
        <f>HYPERLINK("http://www.ncbi.nlm.nih.gov/sutils/blink.cgi?pid=307095210","1E-017")</f>
        <v>1E-017</v>
      </c>
      <c r="V202" t="str">
        <f>HYPERLINK("http://www.ncbi.nlm.nih.gov/protein/307095210","gi|307095210")</f>
        <v>gi|307095210</v>
      </c>
      <c r="W202">
        <v>90.5</v>
      </c>
      <c r="X202">
        <v>41</v>
      </c>
      <c r="Y202">
        <v>288</v>
      </c>
      <c r="Z202">
        <v>100</v>
      </c>
      <c r="AA202">
        <v>15</v>
      </c>
      <c r="AB202">
        <v>0</v>
      </c>
      <c r="AC202">
        <v>0</v>
      </c>
      <c r="AD202">
        <v>150</v>
      </c>
      <c r="AE202">
        <v>1</v>
      </c>
      <c r="AF202">
        <v>1</v>
      </c>
      <c r="AG202"/>
      <c r="AH202" t="s">
        <v>13</v>
      </c>
      <c r="AI202" t="s">
        <v>51</v>
      </c>
      <c r="AJ202" t="s">
        <v>278</v>
      </c>
      <c r="AK202" t="str">
        <f>HYPERLINK(".\links\SWISSP\TI-336-SWISSP.txt","60S ribosomal protein L5 OS=Toxoptera citricida GN=RpL5 PE=2 SV=1")</f>
        <v>60S ribosomal protein L5 OS=Toxoptera citricida GN=RpL5 PE=2 SV=1</v>
      </c>
      <c r="AL202" t="str">
        <f>HYPERLINK("http://www.uniprot.org/uniprot/Q5XUC7","4E-015")</f>
        <v>4E-015</v>
      </c>
      <c r="AM202" t="s">
        <v>200</v>
      </c>
      <c r="AN202">
        <v>80.099999999999994</v>
      </c>
      <c r="AO202">
        <v>41</v>
      </c>
      <c r="AP202">
        <v>300</v>
      </c>
      <c r="AQ202">
        <v>83</v>
      </c>
      <c r="AR202">
        <v>14</v>
      </c>
      <c r="AS202">
        <v>7</v>
      </c>
      <c r="AT202">
        <v>0</v>
      </c>
      <c r="AU202">
        <v>150</v>
      </c>
      <c r="AV202">
        <v>1</v>
      </c>
      <c r="AW202">
        <v>1</v>
      </c>
      <c r="AX202" t="s">
        <v>201</v>
      </c>
      <c r="AY202" t="str">
        <f>HYPERLINK(".\links\PREV-RHOD-PEP\TI-336-PREV-RHOD-PEP.txt","Contig17959_111")</f>
        <v>Contig17959_111</v>
      </c>
      <c r="AZ202" s="3">
        <v>3.0000000000000003E-20</v>
      </c>
      <c r="BA202" t="s">
        <v>1117</v>
      </c>
      <c r="BB202">
        <v>93.2</v>
      </c>
      <c r="BC202">
        <v>41</v>
      </c>
      <c r="BD202">
        <v>662</v>
      </c>
      <c r="BE202">
        <v>100</v>
      </c>
      <c r="BF202">
        <v>6</v>
      </c>
      <c r="BG202">
        <v>0</v>
      </c>
      <c r="BH202">
        <v>0</v>
      </c>
      <c r="BI202">
        <v>564</v>
      </c>
      <c r="BJ202">
        <v>1</v>
      </c>
      <c r="BK202">
        <v>1</v>
      </c>
      <c r="BL202" t="s">
        <v>822</v>
      </c>
      <c r="BM202">
        <f>HYPERLINK(".\links\GO\TI-336-GO.txt",0.00000000000002)</f>
        <v>2E-14</v>
      </c>
      <c r="BN202" t="s">
        <v>329</v>
      </c>
      <c r="BO202" t="s">
        <v>330</v>
      </c>
      <c r="BP202" t="s">
        <v>331</v>
      </c>
      <c r="BQ202" t="s">
        <v>332</v>
      </c>
      <c r="BR202">
        <v>2.9999999999999998E-14</v>
      </c>
      <c r="BS202" t="s">
        <v>333</v>
      </c>
      <c r="BT202" t="s">
        <v>323</v>
      </c>
      <c r="BU202" t="s">
        <v>334</v>
      </c>
      <c r="BV202" t="s">
        <v>335</v>
      </c>
      <c r="BW202">
        <v>2.9999999999999998E-14</v>
      </c>
      <c r="BX202" t="s">
        <v>336</v>
      </c>
      <c r="BY202" t="s">
        <v>330</v>
      </c>
      <c r="BZ202" t="s">
        <v>331</v>
      </c>
      <c r="CA202" t="s">
        <v>337</v>
      </c>
      <c r="CB202">
        <v>2.9999999999999998E-14</v>
      </c>
      <c r="CC202" t="s">
        <v>8</v>
      </c>
      <c r="CD202"/>
      <c r="CE202"/>
      <c r="CF202" t="s">
        <v>8</v>
      </c>
      <c r="CG202"/>
      <c r="CH202"/>
      <c r="CI202" t="s">
        <v>8</v>
      </c>
      <c r="CJ202"/>
      <c r="CK202" t="s">
        <v>8</v>
      </c>
      <c r="CL202"/>
      <c r="CM202" t="s">
        <v>8</v>
      </c>
      <c r="CN202"/>
      <c r="CO202" t="s">
        <v>8</v>
      </c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 t="s">
        <v>8</v>
      </c>
      <c r="DD202"/>
      <c r="DE202"/>
      <c r="DF202"/>
      <c r="DG202"/>
      <c r="DH202"/>
      <c r="DI202"/>
      <c r="DJ202"/>
      <c r="DK202"/>
      <c r="DL202"/>
      <c r="DM202"/>
      <c r="DN202"/>
      <c r="DO202"/>
      <c r="DP202"/>
    </row>
    <row r="203" spans="1:120" s="6" customFormat="1">
      <c r="A203" t="str">
        <f>HYPERLINK(".\links\pep\TI-338-pep.txt","TI-338")</f>
        <v>TI-338</v>
      </c>
      <c r="B203">
        <v>338</v>
      </c>
      <c r="C203" t="s">
        <v>11</v>
      </c>
      <c r="D203">
        <v>184</v>
      </c>
      <c r="E203" s="2">
        <v>2.1739130000000002</v>
      </c>
      <c r="F203" t="str">
        <f>HYPERLINK(".\links\cds\TI-338-cds.txt","TI-338")</f>
        <v>TI-338</v>
      </c>
      <c r="G203">
        <v>555</v>
      </c>
      <c r="H203"/>
      <c r="I203" t="s">
        <v>8</v>
      </c>
      <c r="J203" t="s">
        <v>6</v>
      </c>
      <c r="K203">
        <v>1</v>
      </c>
      <c r="L203">
        <v>0</v>
      </c>
      <c r="M203">
        <f t="shared" si="10"/>
        <v>1</v>
      </c>
      <c r="N203">
        <f t="shared" si="11"/>
        <v>1</v>
      </c>
      <c r="O203" t="s">
        <v>1224</v>
      </c>
      <c r="P203" t="s">
        <v>1187</v>
      </c>
      <c r="Q203" t="str">
        <f>HYPERLINK(".\links\NR-LIGHT\TI-338-NR-LIGHT.txt","NR-LIGHT")</f>
        <v>NR-LIGHT</v>
      </c>
      <c r="R203" s="3">
        <v>9.0000000000000004E-71</v>
      </c>
      <c r="S203">
        <v>44.8</v>
      </c>
      <c r="T203" t="str">
        <f>HYPERLINK(".\links\NR-LIGHT\TI-338-NR-LIGHT.txt","Nuclear hormone receptor FTZ-F1, putative")</f>
        <v>Nuclear hormone receptor FTZ-F1, putative</v>
      </c>
      <c r="U203" t="str">
        <f>HYPERLINK("http://www.ncbi.nlm.nih.gov/sutils/blink.cgi?pid=242019865","9E-071")</f>
        <v>9E-071</v>
      </c>
      <c r="V203" t="str">
        <f>HYPERLINK("http://www.ncbi.nlm.nih.gov/protein/242019865","gi|242019865")</f>
        <v>gi|242019865</v>
      </c>
      <c r="W203">
        <v>268</v>
      </c>
      <c r="X203">
        <v>181</v>
      </c>
      <c r="Y203">
        <v>406</v>
      </c>
      <c r="Z203">
        <v>71</v>
      </c>
      <c r="AA203">
        <v>45</v>
      </c>
      <c r="AB203">
        <v>51</v>
      </c>
      <c r="AC203">
        <v>0</v>
      </c>
      <c r="AD203">
        <v>225</v>
      </c>
      <c r="AE203">
        <v>3</v>
      </c>
      <c r="AF203">
        <v>1</v>
      </c>
      <c r="AG203"/>
      <c r="AH203" t="s">
        <v>13</v>
      </c>
      <c r="AI203" t="s">
        <v>51</v>
      </c>
      <c r="AJ203" t="s">
        <v>268</v>
      </c>
      <c r="AK203" t="str">
        <f>HYPERLINK(".\links\SWISSP\TI-338-SWISSP.txt","Nuclear hormone receptor FTZ-F1 OS=Bombyx mori GN=FTZ-F1 PE=1 SV=2")</f>
        <v>Nuclear hormone receptor FTZ-F1 OS=Bombyx mori GN=FTZ-F1 PE=1 SV=2</v>
      </c>
      <c r="AL203" t="str">
        <f>HYPERLINK("http://www.uniprot.org/uniprot/P49867","6E-064")</f>
        <v>6E-064</v>
      </c>
      <c r="AM203" t="s">
        <v>97</v>
      </c>
      <c r="AN203">
        <v>243</v>
      </c>
      <c r="AO203">
        <v>181</v>
      </c>
      <c r="AP203">
        <v>534</v>
      </c>
      <c r="AQ203">
        <v>63</v>
      </c>
      <c r="AR203">
        <v>34</v>
      </c>
      <c r="AS203">
        <v>67</v>
      </c>
      <c r="AT203">
        <v>0</v>
      </c>
      <c r="AU203">
        <v>352</v>
      </c>
      <c r="AV203">
        <v>3</v>
      </c>
      <c r="AW203">
        <v>1</v>
      </c>
      <c r="AX203" t="s">
        <v>54</v>
      </c>
      <c r="AY203" t="str">
        <f>HYPERLINK(".\links\PREV-RHOD-PEP\TI-338-PREV-RHOD-PEP.txt","Contig17978_37")</f>
        <v>Contig17978_37</v>
      </c>
      <c r="AZ203" s="3">
        <v>1.9999999999999999E-82</v>
      </c>
      <c r="BA203" t="s">
        <v>1012</v>
      </c>
      <c r="BB203">
        <v>300</v>
      </c>
      <c r="BC203">
        <v>167</v>
      </c>
      <c r="BD203">
        <v>234</v>
      </c>
      <c r="BE203">
        <v>86</v>
      </c>
      <c r="BF203">
        <v>72</v>
      </c>
      <c r="BG203">
        <v>22</v>
      </c>
      <c r="BH203">
        <v>0</v>
      </c>
      <c r="BI203">
        <v>67</v>
      </c>
      <c r="BJ203">
        <v>17</v>
      </c>
      <c r="BK203">
        <v>1</v>
      </c>
      <c r="BL203" t="s">
        <v>466</v>
      </c>
      <c r="BM203">
        <f>HYPERLINK(".\links\GO\TI-338-GO.txt",3E-61)</f>
        <v>3.0000000000000001E-61</v>
      </c>
      <c r="BN203" t="s">
        <v>467</v>
      </c>
      <c r="BO203" t="s">
        <v>340</v>
      </c>
      <c r="BP203" t="s">
        <v>468</v>
      </c>
      <c r="BQ203" t="s">
        <v>469</v>
      </c>
      <c r="BR203" s="3">
        <v>3.0000000000000001E-61</v>
      </c>
      <c r="BS203" t="s">
        <v>447</v>
      </c>
      <c r="BT203" t="s">
        <v>323</v>
      </c>
      <c r="BU203" t="s">
        <v>334</v>
      </c>
      <c r="BV203" t="s">
        <v>448</v>
      </c>
      <c r="BW203" s="3">
        <v>3.0000000000000001E-61</v>
      </c>
      <c r="BX203" t="s">
        <v>470</v>
      </c>
      <c r="BY203" t="s">
        <v>340</v>
      </c>
      <c r="BZ203" t="s">
        <v>468</v>
      </c>
      <c r="CA203" t="s">
        <v>471</v>
      </c>
      <c r="CB203" s="3">
        <v>3.0000000000000001E-61</v>
      </c>
      <c r="CC203" t="s">
        <v>8</v>
      </c>
      <c r="CD203"/>
      <c r="CE203"/>
      <c r="CF203" t="s">
        <v>8</v>
      </c>
      <c r="CG203"/>
      <c r="CH203"/>
      <c r="CI203" t="s">
        <v>8</v>
      </c>
      <c r="CJ203"/>
      <c r="CK203" t="s">
        <v>8</v>
      </c>
      <c r="CL203"/>
      <c r="CM203" t="s">
        <v>8</v>
      </c>
      <c r="CN203"/>
      <c r="CO203" t="s">
        <v>8</v>
      </c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 t="s">
        <v>8</v>
      </c>
      <c r="DD203"/>
      <c r="DE203"/>
      <c r="DF203"/>
      <c r="DG203"/>
      <c r="DH203"/>
      <c r="DI203"/>
      <c r="DJ203"/>
      <c r="DK203"/>
      <c r="DL203"/>
      <c r="DM203"/>
      <c r="DN203"/>
      <c r="DO203"/>
      <c r="DP203"/>
    </row>
    <row r="204" spans="1:120" s="6" customFormat="1">
      <c r="A204" t="str">
        <f>HYPERLINK(".\links\pep\TI-339-pep.txt","TI-339")</f>
        <v>TI-339</v>
      </c>
      <c r="B204">
        <v>339</v>
      </c>
      <c r="C204" t="s">
        <v>7</v>
      </c>
      <c r="D204">
        <v>208</v>
      </c>
      <c r="E204">
        <v>0</v>
      </c>
      <c r="F204" t="str">
        <f>HYPERLINK(".\links\cds\TI-339-cds.txt","TI-339")</f>
        <v>TI-339</v>
      </c>
      <c r="G204">
        <v>622</v>
      </c>
      <c r="H204"/>
      <c r="I204" t="s">
        <v>29</v>
      </c>
      <c r="J204" t="s">
        <v>8</v>
      </c>
      <c r="K204">
        <v>0</v>
      </c>
      <c r="L204">
        <v>1</v>
      </c>
      <c r="M204">
        <f t="shared" si="10"/>
        <v>-1</v>
      </c>
      <c r="N204">
        <f t="shared" si="11"/>
        <v>1</v>
      </c>
      <c r="O204" t="s">
        <v>1216</v>
      </c>
      <c r="P204" t="s">
        <v>1203</v>
      </c>
      <c r="Q204" t="str">
        <f>HYPERLINK(".\links\NR-LIGHT\TI-339-NR-LIGHT.txt","NR-LIGHT")</f>
        <v>NR-LIGHT</v>
      </c>
      <c r="R204" s="3">
        <v>4.9999999999999998E-45</v>
      </c>
      <c r="S204">
        <v>59</v>
      </c>
      <c r="T204" t="str">
        <f>HYPERLINK(".\links\NR-LIGHT\TI-339-NR-LIGHT.txt","truncated histone H1")</f>
        <v>truncated histone H1</v>
      </c>
      <c r="U204" t="str">
        <f>HYPERLINK("http://www.ncbi.nlm.nih.gov/sutils/blink.cgi?pid=149689210","5E-045")</f>
        <v>5E-045</v>
      </c>
      <c r="V204" t="str">
        <f>HYPERLINK("http://www.ncbi.nlm.nih.gov/protein/149689210","gi|149689210")</f>
        <v>gi|149689210</v>
      </c>
      <c r="W204">
        <v>182</v>
      </c>
      <c r="X204">
        <v>117</v>
      </c>
      <c r="Y204">
        <v>197</v>
      </c>
      <c r="Z204">
        <v>83</v>
      </c>
      <c r="AA204">
        <v>60</v>
      </c>
      <c r="AB204">
        <v>19</v>
      </c>
      <c r="AC204">
        <v>0</v>
      </c>
      <c r="AD204">
        <v>1</v>
      </c>
      <c r="AE204">
        <v>1</v>
      </c>
      <c r="AF204">
        <v>1</v>
      </c>
      <c r="AG204"/>
      <c r="AH204" t="s">
        <v>13</v>
      </c>
      <c r="AI204" t="s">
        <v>51</v>
      </c>
      <c r="AJ204" t="s">
        <v>273</v>
      </c>
      <c r="AK204" t="str">
        <f>HYPERLINK(".\links\SWISSP\TI-339-SWISSP.txt","Histone H1 OS=Drosophila melanogaster GN=His1 PE=1 SV=1")</f>
        <v>Histone H1 OS=Drosophila melanogaster GN=His1 PE=1 SV=1</v>
      </c>
      <c r="AL204" t="str">
        <f>HYPERLINK("http://www.uniprot.org/uniprot/P02255","6E-026")</f>
        <v>6E-026</v>
      </c>
      <c r="AM204" t="s">
        <v>163</v>
      </c>
      <c r="AN204">
        <v>117</v>
      </c>
      <c r="AO204">
        <v>75</v>
      </c>
      <c r="AP204">
        <v>256</v>
      </c>
      <c r="AQ204">
        <v>68</v>
      </c>
      <c r="AR204">
        <v>30</v>
      </c>
      <c r="AS204">
        <v>24</v>
      </c>
      <c r="AT204">
        <v>0</v>
      </c>
      <c r="AU204">
        <v>45</v>
      </c>
      <c r="AV204">
        <v>39</v>
      </c>
      <c r="AW204">
        <v>1</v>
      </c>
      <c r="AX204" t="s">
        <v>52</v>
      </c>
      <c r="AY204" t="str">
        <f>HYPERLINK(".\links\PREV-RHOD-PEP\TI-339-PREV-RHOD-PEP.txt","Contig18070_21")</f>
        <v>Contig18070_21</v>
      </c>
      <c r="AZ204" s="3">
        <v>9.9999999999999996E-39</v>
      </c>
      <c r="BA204" t="s">
        <v>1081</v>
      </c>
      <c r="BB204">
        <v>155</v>
      </c>
      <c r="BC204">
        <v>81</v>
      </c>
      <c r="BD204">
        <v>208</v>
      </c>
      <c r="BE204">
        <v>90</v>
      </c>
      <c r="BF204">
        <v>39</v>
      </c>
      <c r="BG204">
        <v>8</v>
      </c>
      <c r="BH204">
        <v>0</v>
      </c>
      <c r="BI204">
        <v>40</v>
      </c>
      <c r="BJ204">
        <v>39</v>
      </c>
      <c r="BK204">
        <v>1</v>
      </c>
      <c r="BL204" t="s">
        <v>759</v>
      </c>
      <c r="BM204">
        <f>HYPERLINK(".\links\GO\TI-339-GO.txt",2E-26)</f>
        <v>2.0000000000000001E-26</v>
      </c>
      <c r="BN204" t="s">
        <v>467</v>
      </c>
      <c r="BO204" t="s">
        <v>340</v>
      </c>
      <c r="BP204" t="s">
        <v>468</v>
      </c>
      <c r="BQ204" t="s">
        <v>469</v>
      </c>
      <c r="BR204" s="3">
        <v>2.0000000000000001E-26</v>
      </c>
      <c r="BS204" t="s">
        <v>447</v>
      </c>
      <c r="BT204" t="s">
        <v>323</v>
      </c>
      <c r="BU204" t="s">
        <v>334</v>
      </c>
      <c r="BV204" t="s">
        <v>448</v>
      </c>
      <c r="BW204" s="3">
        <v>2.0000000000000001E-26</v>
      </c>
      <c r="BX204" t="s">
        <v>710</v>
      </c>
      <c r="BY204" t="s">
        <v>340</v>
      </c>
      <c r="BZ204" t="s">
        <v>468</v>
      </c>
      <c r="CA204" t="s">
        <v>711</v>
      </c>
      <c r="CB204" s="3">
        <v>2.0000000000000001E-26</v>
      </c>
      <c r="CC204" t="s">
        <v>8</v>
      </c>
      <c r="CD204"/>
      <c r="CE204"/>
      <c r="CF204" t="s">
        <v>8</v>
      </c>
      <c r="CG204"/>
      <c r="CH204"/>
      <c r="CI204" t="s">
        <v>8</v>
      </c>
      <c r="CJ204"/>
      <c r="CK204" t="s">
        <v>8</v>
      </c>
      <c r="CL204"/>
      <c r="CM204" t="s">
        <v>8</v>
      </c>
      <c r="CN204"/>
      <c r="CO204" t="s">
        <v>8</v>
      </c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 t="s">
        <v>8</v>
      </c>
      <c r="DD204"/>
      <c r="DE204"/>
      <c r="DF204"/>
      <c r="DG204"/>
      <c r="DH204"/>
      <c r="DI204"/>
      <c r="DJ204"/>
      <c r="DK204"/>
      <c r="DL204"/>
      <c r="DM204"/>
      <c r="DN204"/>
      <c r="DO204"/>
      <c r="DP204"/>
    </row>
    <row r="205" spans="1:120" s="6" customFormat="1">
      <c r="A205" s="6" t="str">
        <f>HYPERLINK(".\links\pep\TI-344-pep.txt","TI-344")</f>
        <v>TI-344</v>
      </c>
      <c r="B205" s="6">
        <v>344</v>
      </c>
      <c r="C205" s="6" t="s">
        <v>24</v>
      </c>
      <c r="D205" s="6">
        <v>75</v>
      </c>
      <c r="E205" s="6">
        <v>0</v>
      </c>
      <c r="F205" s="6" t="str">
        <f>HYPERLINK(".\links\cds\TI-344-cds.txt","TI-344")</f>
        <v>TI-344</v>
      </c>
      <c r="G205" s="6">
        <v>228</v>
      </c>
      <c r="I205" s="6" t="s">
        <v>8</v>
      </c>
      <c r="J205" s="6" t="s">
        <v>6</v>
      </c>
      <c r="K205" s="6">
        <v>1</v>
      </c>
      <c r="L205" s="6">
        <v>0</v>
      </c>
      <c r="M205" s="6">
        <f t="shared" ref="M205:M241" si="12">K205-L205</f>
        <v>1</v>
      </c>
      <c r="N205" s="6">
        <f t="shared" ref="N205:N241" si="13">ABS(K205-L205)</f>
        <v>1</v>
      </c>
      <c r="O205" s="6" t="s">
        <v>1170</v>
      </c>
      <c r="P205" s="6" t="s">
        <v>1171</v>
      </c>
      <c r="T205" s="6" t="str">
        <f>HYPERLINK(".\links\NR-LIGHT\TI-344-NR-LIGHT.txt","hypothetical protein")</f>
        <v>hypothetical protein</v>
      </c>
      <c r="U205" s="6" t="str">
        <f>HYPERLINK("http://www.ncbi.nlm.nih.gov/sutils/blink.cgi?pid=156097410","2.6")</f>
        <v>2.6</v>
      </c>
      <c r="V205" s="6" t="str">
        <f>HYPERLINK("http://www.ncbi.nlm.nih.gov/protein/156097410","gi|156097410")</f>
        <v>gi|156097410</v>
      </c>
      <c r="W205" s="6">
        <v>33.1</v>
      </c>
      <c r="X205" s="6">
        <v>32</v>
      </c>
      <c r="Y205" s="6">
        <v>1238</v>
      </c>
      <c r="Z205" s="6">
        <v>36</v>
      </c>
      <c r="AA205" s="6">
        <v>3</v>
      </c>
      <c r="AB205" s="6">
        <v>21</v>
      </c>
      <c r="AC205" s="6">
        <v>0</v>
      </c>
      <c r="AD205" s="6">
        <v>959</v>
      </c>
      <c r="AE205" s="6">
        <v>26</v>
      </c>
      <c r="AF205" s="6">
        <v>1</v>
      </c>
      <c r="AH205" s="6" t="s">
        <v>13</v>
      </c>
      <c r="AI205" s="6" t="s">
        <v>51</v>
      </c>
      <c r="AJ205" s="6" t="s">
        <v>296</v>
      </c>
      <c r="AK205" s="6" t="s">
        <v>8</v>
      </c>
      <c r="AY205" s="6" t="s">
        <v>8</v>
      </c>
      <c r="BL205" s="6" t="s">
        <v>8</v>
      </c>
      <c r="CC205" s="6" t="s">
        <v>8</v>
      </c>
      <c r="CF205" s="6" t="s">
        <v>8</v>
      </c>
      <c r="CI205" s="6" t="s">
        <v>8</v>
      </c>
      <c r="CK205" s="6" t="s">
        <v>8</v>
      </c>
      <c r="CM205" s="6" t="s">
        <v>8</v>
      </c>
      <c r="CO205" s="6" t="s">
        <v>8</v>
      </c>
      <c r="DC205" s="6" t="s">
        <v>8</v>
      </c>
    </row>
    <row r="206" spans="1:120" s="6" customFormat="1">
      <c r="A206" s="6" t="str">
        <f>HYPERLINK(".\links\pep\TI-346-pep.txt","TI-346")</f>
        <v>TI-346</v>
      </c>
      <c r="B206" s="6">
        <v>346</v>
      </c>
      <c r="C206" s="6" t="s">
        <v>10</v>
      </c>
      <c r="D206" s="6">
        <v>38</v>
      </c>
      <c r="E206" s="7">
        <v>7.8947370000000001</v>
      </c>
      <c r="F206" s="6" t="str">
        <f>HYPERLINK(".\links\cds\TI-346-cds.txt","TI-346")</f>
        <v>TI-346</v>
      </c>
      <c r="G206" s="6">
        <v>117</v>
      </c>
      <c r="I206" s="6" t="s">
        <v>8</v>
      </c>
      <c r="J206" s="6" t="s">
        <v>6</v>
      </c>
      <c r="K206" s="6">
        <v>0</v>
      </c>
      <c r="L206" s="6">
        <v>2</v>
      </c>
      <c r="M206" s="6">
        <f t="shared" si="12"/>
        <v>-2</v>
      </c>
      <c r="N206" s="6">
        <f t="shared" si="13"/>
        <v>2</v>
      </c>
      <c r="O206" s="6" t="s">
        <v>1170</v>
      </c>
      <c r="P206" s="6" t="s">
        <v>1171</v>
      </c>
      <c r="T206" s="6" t="s">
        <v>8</v>
      </c>
      <c r="AK206" s="6" t="s">
        <v>8</v>
      </c>
      <c r="AY206" s="6" t="s">
        <v>8</v>
      </c>
      <c r="BL206" s="6" t="s">
        <v>8</v>
      </c>
      <c r="CC206" s="6" t="s">
        <v>8</v>
      </c>
      <c r="CF206" s="6" t="s">
        <v>8</v>
      </c>
      <c r="CI206" s="6" t="s">
        <v>8</v>
      </c>
      <c r="CK206" s="6" t="s">
        <v>8</v>
      </c>
      <c r="CM206" s="6" t="s">
        <v>8</v>
      </c>
      <c r="CO206" s="6" t="s">
        <v>8</v>
      </c>
      <c r="DC206" s="6" t="s">
        <v>8</v>
      </c>
    </row>
    <row r="207" spans="1:120" s="6" customFormat="1">
      <c r="A207" s="6" t="str">
        <f>HYPERLINK(".\links\pep\TI-347-pep.txt","TI-347")</f>
        <v>TI-347</v>
      </c>
      <c r="B207" s="6">
        <v>347</v>
      </c>
      <c r="C207" s="6" t="s">
        <v>27</v>
      </c>
      <c r="D207" s="6">
        <v>36</v>
      </c>
      <c r="E207" s="6">
        <v>0</v>
      </c>
      <c r="F207" s="6" t="str">
        <f>HYPERLINK(".\links\cds\TI-347-cds.txt","TI-347")</f>
        <v>TI-347</v>
      </c>
      <c r="G207" s="6">
        <v>111</v>
      </c>
      <c r="I207" s="6" t="s">
        <v>8</v>
      </c>
      <c r="J207" s="6" t="s">
        <v>6</v>
      </c>
      <c r="K207" s="6">
        <v>1</v>
      </c>
      <c r="L207" s="6">
        <v>0</v>
      </c>
      <c r="M207" s="6">
        <f t="shared" si="12"/>
        <v>1</v>
      </c>
      <c r="N207" s="6">
        <f t="shared" si="13"/>
        <v>1</v>
      </c>
      <c r="O207" s="6" t="s">
        <v>1170</v>
      </c>
      <c r="P207" s="6" t="s">
        <v>1171</v>
      </c>
      <c r="T207" s="6" t="s">
        <v>8</v>
      </c>
      <c r="AK207" s="6" t="s">
        <v>8</v>
      </c>
      <c r="AY207" s="6" t="s">
        <v>8</v>
      </c>
      <c r="BL207" s="6" t="s">
        <v>8</v>
      </c>
      <c r="CC207" s="6" t="s">
        <v>8</v>
      </c>
      <c r="CF207" s="6" t="s">
        <v>8</v>
      </c>
      <c r="CI207" s="6" t="s">
        <v>8</v>
      </c>
      <c r="CK207" s="6" t="s">
        <v>8</v>
      </c>
      <c r="CM207" s="6" t="s">
        <v>8</v>
      </c>
      <c r="CO207" s="6" t="s">
        <v>8</v>
      </c>
      <c r="DC207" s="6" t="s">
        <v>8</v>
      </c>
    </row>
    <row r="208" spans="1:120" s="6" customFormat="1">
      <c r="A208" s="6" t="str">
        <f>HYPERLINK(".\links\pep\TI-348-pep.txt","TI-348")</f>
        <v>TI-348</v>
      </c>
      <c r="B208" s="6">
        <v>348</v>
      </c>
      <c r="C208" s="6" t="s">
        <v>12</v>
      </c>
      <c r="D208" s="6">
        <v>30</v>
      </c>
      <c r="E208" s="6">
        <v>0</v>
      </c>
      <c r="F208" s="6" t="str">
        <f>HYPERLINK(".\links\cds\TI-348-cds.txt","TI-348")</f>
        <v>TI-348</v>
      </c>
      <c r="G208" s="6">
        <v>93</v>
      </c>
      <c r="I208" s="6" t="s">
        <v>8</v>
      </c>
      <c r="J208" s="6" t="s">
        <v>6</v>
      </c>
      <c r="K208" s="6">
        <v>0</v>
      </c>
      <c r="L208" s="6">
        <v>1</v>
      </c>
      <c r="M208" s="6">
        <f t="shared" si="12"/>
        <v>-1</v>
      </c>
      <c r="N208" s="6">
        <f t="shared" si="13"/>
        <v>1</v>
      </c>
      <c r="O208" s="6" t="s">
        <v>1170</v>
      </c>
      <c r="P208" s="6" t="s">
        <v>1171</v>
      </c>
      <c r="T208" s="6" t="s">
        <v>8</v>
      </c>
      <c r="AK208" s="6" t="s">
        <v>8</v>
      </c>
      <c r="AY208" s="6" t="s">
        <v>8</v>
      </c>
      <c r="BL208" s="6" t="s">
        <v>8</v>
      </c>
      <c r="CC208" s="6" t="s">
        <v>8</v>
      </c>
      <c r="CF208" s="6" t="s">
        <v>8</v>
      </c>
      <c r="CI208" s="6" t="s">
        <v>8</v>
      </c>
      <c r="CK208" s="6" t="s">
        <v>8</v>
      </c>
      <c r="CM208" s="6" t="s">
        <v>8</v>
      </c>
      <c r="CO208" s="6" t="s">
        <v>8</v>
      </c>
      <c r="DC208" s="6" t="s">
        <v>8</v>
      </c>
    </row>
    <row r="209" spans="1:120" s="6" customFormat="1">
      <c r="A209" s="6" t="str">
        <f>HYPERLINK(".\links\pep\TI-349-pep.txt","TI-349")</f>
        <v>TI-349</v>
      </c>
      <c r="B209" s="6">
        <v>349</v>
      </c>
      <c r="C209" s="6" t="s">
        <v>22</v>
      </c>
      <c r="D209" s="6">
        <v>29</v>
      </c>
      <c r="E209" s="6">
        <v>0</v>
      </c>
      <c r="F209" s="6" t="str">
        <f>HYPERLINK(".\links\cds\TI-349-cds.txt","TI-349")</f>
        <v>TI-349</v>
      </c>
      <c r="G209" s="6">
        <v>90</v>
      </c>
      <c r="I209" s="6" t="s">
        <v>8</v>
      </c>
      <c r="J209" s="6" t="s">
        <v>6</v>
      </c>
      <c r="K209" s="6">
        <v>0</v>
      </c>
      <c r="L209" s="6">
        <v>1</v>
      </c>
      <c r="M209" s="6">
        <f t="shared" si="12"/>
        <v>-1</v>
      </c>
      <c r="N209" s="6">
        <f t="shared" si="13"/>
        <v>1</v>
      </c>
      <c r="O209" s="6" t="s">
        <v>1170</v>
      </c>
      <c r="P209" s="6" t="s">
        <v>1171</v>
      </c>
      <c r="T209" s="6" t="s">
        <v>8</v>
      </c>
      <c r="AK209" s="6" t="s">
        <v>8</v>
      </c>
      <c r="AY209" s="6" t="s">
        <v>8</v>
      </c>
      <c r="BL209" s="6" t="s">
        <v>8</v>
      </c>
      <c r="CC209" s="6" t="s">
        <v>8</v>
      </c>
      <c r="CF209" s="6" t="s">
        <v>8</v>
      </c>
      <c r="CI209" s="6" t="s">
        <v>8</v>
      </c>
      <c r="CK209" s="6" t="s">
        <v>8</v>
      </c>
      <c r="CM209" s="6" t="s">
        <v>8</v>
      </c>
      <c r="CO209" s="6" t="s">
        <v>8</v>
      </c>
      <c r="DC209" s="6" t="s">
        <v>8</v>
      </c>
    </row>
    <row r="210" spans="1:120" s="6" customFormat="1">
      <c r="A210" t="str">
        <f>HYPERLINK(".\links\pep\TI-350-pep.txt","TI-350")</f>
        <v>TI-350</v>
      </c>
      <c r="B210">
        <v>350</v>
      </c>
      <c r="C210" t="s">
        <v>23</v>
      </c>
      <c r="D210">
        <v>119</v>
      </c>
      <c r="E210">
        <v>0</v>
      </c>
      <c r="F210" t="str">
        <f>HYPERLINK(".\links\cds\TI-350-cds.txt","TI-350")</f>
        <v>TI-350</v>
      </c>
      <c r="G210">
        <v>360</v>
      </c>
      <c r="H210"/>
      <c r="I210" t="s">
        <v>8</v>
      </c>
      <c r="J210" t="s">
        <v>6</v>
      </c>
      <c r="K210">
        <v>0</v>
      </c>
      <c r="L210">
        <v>1</v>
      </c>
      <c r="M210">
        <f t="shared" si="12"/>
        <v>-1</v>
      </c>
      <c r="N210">
        <f t="shared" si="13"/>
        <v>1</v>
      </c>
      <c r="O210" t="s">
        <v>1322</v>
      </c>
      <c r="P210" t="s">
        <v>1175</v>
      </c>
      <c r="Q210" t="str">
        <f>HYPERLINK(".\links\SWISSP\TI-350-SWISSP.txt","SWISSP")</f>
        <v>SWISSP</v>
      </c>
      <c r="R210" s="3">
        <v>2.9999999999999998E-31</v>
      </c>
      <c r="S210">
        <v>11.9</v>
      </c>
      <c r="T210" t="str">
        <f>HYPERLINK(".\links\NR-LIGHT\TI-350-NR-LIGHT.txt","heat shock protein cognate 4")</f>
        <v>heat shock protein cognate 4</v>
      </c>
      <c r="U210" t="str">
        <f>HYPERLINK("http://www.ncbi.nlm.nih.gov/sutils/blink.cgi?pid=229892210","5E-031")</f>
        <v>5E-031</v>
      </c>
      <c r="V210" t="str">
        <f>HYPERLINK("http://www.ncbi.nlm.nih.gov/protein/229892210","gi|229892210")</f>
        <v>gi|229892210</v>
      </c>
      <c r="W210">
        <v>134</v>
      </c>
      <c r="X210">
        <v>76</v>
      </c>
      <c r="Y210">
        <v>650</v>
      </c>
      <c r="Z210">
        <v>77</v>
      </c>
      <c r="AA210">
        <v>12</v>
      </c>
      <c r="AB210">
        <v>17</v>
      </c>
      <c r="AC210">
        <v>0</v>
      </c>
      <c r="AD210">
        <v>536</v>
      </c>
      <c r="AE210">
        <v>2</v>
      </c>
      <c r="AF210">
        <v>1</v>
      </c>
      <c r="AG210"/>
      <c r="AH210" t="s">
        <v>13</v>
      </c>
      <c r="AI210" t="s">
        <v>51</v>
      </c>
      <c r="AJ210" t="s">
        <v>83</v>
      </c>
      <c r="AK210" t="str">
        <f>HYPERLINK(".\links\SWISSP\TI-350-SWISSP.txt","Heat shock 70 kDa protein cognate 4 OS=Manduca sexta PE=2 SV=1")</f>
        <v>Heat shock 70 kDa protein cognate 4 OS=Manduca sexta PE=2 SV=1</v>
      </c>
      <c r="AL210" t="str">
        <f>HYPERLINK("http://www.uniprot.org/uniprot/Q9U639","3E-031")</f>
        <v>3E-031</v>
      </c>
      <c r="AM210" t="s">
        <v>202</v>
      </c>
      <c r="AN210">
        <v>133</v>
      </c>
      <c r="AO210">
        <v>77</v>
      </c>
      <c r="AP210">
        <v>652</v>
      </c>
      <c r="AQ210">
        <v>79</v>
      </c>
      <c r="AR210">
        <v>12</v>
      </c>
      <c r="AS210">
        <v>16</v>
      </c>
      <c r="AT210">
        <v>0</v>
      </c>
      <c r="AU210">
        <v>535</v>
      </c>
      <c r="AV210">
        <v>1</v>
      </c>
      <c r="AW210">
        <v>1</v>
      </c>
      <c r="AX210" t="s">
        <v>194</v>
      </c>
      <c r="AY210" t="str">
        <f>HYPERLINK(".\links\PREV-RHOD-PEP\TI-350-PREV-RHOD-PEP.txt","Contig17326_44")</f>
        <v>Contig17326_44</v>
      </c>
      <c r="AZ210" s="3">
        <v>3.0000000000000003E-39</v>
      </c>
      <c r="BA210" t="s">
        <v>1118</v>
      </c>
      <c r="BB210">
        <v>155</v>
      </c>
      <c r="BC210">
        <v>78</v>
      </c>
      <c r="BD210">
        <v>652</v>
      </c>
      <c r="BE210">
        <v>96</v>
      </c>
      <c r="BF210">
        <v>12</v>
      </c>
      <c r="BG210">
        <v>3</v>
      </c>
      <c r="BH210">
        <v>0</v>
      </c>
      <c r="BI210">
        <v>535</v>
      </c>
      <c r="BJ210">
        <v>1</v>
      </c>
      <c r="BK210">
        <v>1</v>
      </c>
      <c r="BL210" t="s">
        <v>823</v>
      </c>
      <c r="BM210">
        <f>HYPERLINK(".\links\GO\TI-350-GO.txt",5E-29)</f>
        <v>4.9999999999999999E-29</v>
      </c>
      <c r="BN210" t="s">
        <v>543</v>
      </c>
      <c r="BO210" t="s">
        <v>345</v>
      </c>
      <c r="BP210" t="s">
        <v>349</v>
      </c>
      <c r="BQ210" t="s">
        <v>544</v>
      </c>
      <c r="BR210" s="3">
        <v>4.9999999999999999E-29</v>
      </c>
      <c r="BS210" t="s">
        <v>447</v>
      </c>
      <c r="BT210" t="s">
        <v>323</v>
      </c>
      <c r="BU210" t="s">
        <v>334</v>
      </c>
      <c r="BV210" t="s">
        <v>448</v>
      </c>
      <c r="BW210" s="3">
        <v>4.9999999999999999E-29</v>
      </c>
      <c r="BX210" t="s">
        <v>824</v>
      </c>
      <c r="BY210" t="s">
        <v>345</v>
      </c>
      <c r="BZ210" t="s">
        <v>349</v>
      </c>
      <c r="CA210" t="s">
        <v>825</v>
      </c>
      <c r="CB210" s="3">
        <v>4.9999999999999999E-29</v>
      </c>
      <c r="CC210" t="s">
        <v>8</v>
      </c>
      <c r="CD210"/>
      <c r="CE210"/>
      <c r="CF210" t="s">
        <v>8</v>
      </c>
      <c r="CG210"/>
      <c r="CH210"/>
      <c r="CI210" t="s">
        <v>8</v>
      </c>
      <c r="CJ210"/>
      <c r="CK210" t="s">
        <v>8</v>
      </c>
      <c r="CL210"/>
      <c r="CM210" t="s">
        <v>8</v>
      </c>
      <c r="CN210"/>
      <c r="CO210" t="s">
        <v>8</v>
      </c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 t="s">
        <v>8</v>
      </c>
      <c r="DD210"/>
      <c r="DE210"/>
      <c r="DF210"/>
      <c r="DG210"/>
      <c r="DH210"/>
      <c r="DI210"/>
      <c r="DJ210"/>
      <c r="DK210"/>
      <c r="DL210"/>
      <c r="DM210"/>
      <c r="DN210"/>
      <c r="DO210"/>
      <c r="DP210"/>
    </row>
    <row r="211" spans="1:120" s="6" customFormat="1">
      <c r="A211" s="6" t="str">
        <f>HYPERLINK(".\links\pep\TI-353-pep.txt","TI-353")</f>
        <v>TI-353</v>
      </c>
      <c r="B211" s="6">
        <v>353</v>
      </c>
      <c r="C211" s="6" t="s">
        <v>12</v>
      </c>
      <c r="D211" s="6">
        <v>44</v>
      </c>
      <c r="E211" s="6">
        <v>0</v>
      </c>
      <c r="F211" s="6" t="str">
        <f>HYPERLINK(".\links\cds\TI-353-cds.txt","TI-353")</f>
        <v>TI-353</v>
      </c>
      <c r="G211" s="6">
        <v>135</v>
      </c>
      <c r="I211" s="6" t="s">
        <v>8</v>
      </c>
      <c r="J211" s="6" t="s">
        <v>6</v>
      </c>
      <c r="K211" s="6">
        <v>1</v>
      </c>
      <c r="L211" s="6">
        <v>0</v>
      </c>
      <c r="M211" s="6">
        <f t="shared" si="12"/>
        <v>1</v>
      </c>
      <c r="N211" s="6">
        <f t="shared" si="13"/>
        <v>1</v>
      </c>
      <c r="O211" s="6" t="s">
        <v>1170</v>
      </c>
      <c r="P211" s="6" t="s">
        <v>1171</v>
      </c>
      <c r="T211" s="6" t="s">
        <v>8</v>
      </c>
      <c r="AK211" s="6" t="s">
        <v>8</v>
      </c>
      <c r="AY211" s="6" t="s">
        <v>8</v>
      </c>
      <c r="BL211" s="6" t="s">
        <v>8</v>
      </c>
      <c r="CC211" s="6" t="s">
        <v>8</v>
      </c>
      <c r="CF211" s="6" t="s">
        <v>8</v>
      </c>
      <c r="CI211" s="6" t="s">
        <v>8</v>
      </c>
      <c r="CK211" s="6" t="s">
        <v>8</v>
      </c>
      <c r="CM211" s="6" t="s">
        <v>8</v>
      </c>
      <c r="CO211" s="6" t="s">
        <v>8</v>
      </c>
      <c r="DC211" s="6" t="s">
        <v>8</v>
      </c>
    </row>
    <row r="212" spans="1:120" s="6" customFormat="1">
      <c r="A212" t="str">
        <f>HYPERLINK(".\links\pep\TI-354-pep.txt","TI-354")</f>
        <v>TI-354</v>
      </c>
      <c r="B212">
        <v>354</v>
      </c>
      <c r="C212" t="s">
        <v>23</v>
      </c>
      <c r="D212">
        <v>130</v>
      </c>
      <c r="E212">
        <v>0</v>
      </c>
      <c r="F212" t="str">
        <f>HYPERLINK(".\links\cds\TI-354-cds.txt","TI-354")</f>
        <v>TI-354</v>
      </c>
      <c r="G212">
        <v>389</v>
      </c>
      <c r="H212"/>
      <c r="I212" t="s">
        <v>8</v>
      </c>
      <c r="J212" t="s">
        <v>8</v>
      </c>
      <c r="K212">
        <v>0</v>
      </c>
      <c r="L212">
        <v>1</v>
      </c>
      <c r="M212">
        <f t="shared" si="12"/>
        <v>-1</v>
      </c>
      <c r="N212">
        <f t="shared" si="13"/>
        <v>1</v>
      </c>
      <c r="O212" t="s">
        <v>1323</v>
      </c>
      <c r="P212" t="s">
        <v>1176</v>
      </c>
      <c r="Q212" t="str">
        <f>HYPERLINK(".\links\GO\TI-354-GO.txt","GO")</f>
        <v>GO</v>
      </c>
      <c r="R212" s="3">
        <v>4.0000000000000003E-30</v>
      </c>
      <c r="S212">
        <v>33.299999999999997</v>
      </c>
      <c r="T212" t="str">
        <f>HYPERLINK(".\links\NR-LIGHT\TI-354-NR-LIGHT.txt","conserved hypothetical protein")</f>
        <v>conserved hypothetical protein</v>
      </c>
      <c r="U212" t="str">
        <f>HYPERLINK("http://www.ncbi.nlm.nih.gov/sutils/blink.cgi?pid=242013531","2E-044")</f>
        <v>2E-044</v>
      </c>
      <c r="V212" t="str">
        <f>HYPERLINK("http://www.ncbi.nlm.nih.gov/protein/242013531","gi|242013531")</f>
        <v>gi|242013531</v>
      </c>
      <c r="W212">
        <v>179</v>
      </c>
      <c r="X212">
        <v>100</v>
      </c>
      <c r="Y212">
        <v>271</v>
      </c>
      <c r="Z212">
        <v>84</v>
      </c>
      <c r="AA212">
        <v>37</v>
      </c>
      <c r="AB212">
        <v>16</v>
      </c>
      <c r="AC212">
        <v>0</v>
      </c>
      <c r="AD212">
        <v>28</v>
      </c>
      <c r="AE212">
        <v>30</v>
      </c>
      <c r="AF212">
        <v>1</v>
      </c>
      <c r="AG212"/>
      <c r="AH212" t="s">
        <v>13</v>
      </c>
      <c r="AI212" t="s">
        <v>51</v>
      </c>
      <c r="AJ212" t="s">
        <v>268</v>
      </c>
      <c r="AK212" t="str">
        <f>HYPERLINK(".\links\SWISSP\TI-354-SWISSP.txt","Malectin OS=Rattus norvegicus GN=Mlec PE=2 SV=1")</f>
        <v>Malectin OS=Rattus norvegicus GN=Mlec PE=2 SV=1</v>
      </c>
      <c r="AL212" t="str">
        <f>HYPERLINK("http://www.uniprot.org/uniprot/Q5FVQ4","2E-029")</f>
        <v>2E-029</v>
      </c>
      <c r="AM212" t="s">
        <v>203</v>
      </c>
      <c r="AN212">
        <v>127</v>
      </c>
      <c r="AO212">
        <v>96</v>
      </c>
      <c r="AP212">
        <v>291</v>
      </c>
      <c r="AQ212">
        <v>58</v>
      </c>
      <c r="AR212">
        <v>33</v>
      </c>
      <c r="AS212">
        <v>40</v>
      </c>
      <c r="AT212">
        <v>0</v>
      </c>
      <c r="AU212">
        <v>47</v>
      </c>
      <c r="AV212">
        <v>34</v>
      </c>
      <c r="AW212">
        <v>1</v>
      </c>
      <c r="AX212" t="s">
        <v>74</v>
      </c>
      <c r="AY212" t="str">
        <f>HYPERLINK(".\links\PREV-RHOD-PEP\TI-354-PREV-RHOD-PEP.txt","Contig17767_9")</f>
        <v>Contig17767_9</v>
      </c>
      <c r="AZ212" s="3">
        <v>2.0000000000000001E-59</v>
      </c>
      <c r="BA212" t="s">
        <v>1119</v>
      </c>
      <c r="BB212">
        <v>223</v>
      </c>
      <c r="BC212">
        <v>107</v>
      </c>
      <c r="BD212">
        <v>268</v>
      </c>
      <c r="BE212">
        <v>99</v>
      </c>
      <c r="BF212">
        <v>40</v>
      </c>
      <c r="BG212">
        <v>1</v>
      </c>
      <c r="BH212">
        <v>0</v>
      </c>
      <c r="BI212">
        <v>19</v>
      </c>
      <c r="BJ212">
        <v>23</v>
      </c>
      <c r="BK212">
        <v>1</v>
      </c>
      <c r="BL212" t="s">
        <v>826</v>
      </c>
      <c r="BM212">
        <f>HYPERLINK(".\links\GO\TI-354-GO.txt",4E-30)</f>
        <v>4.0000000000000003E-30</v>
      </c>
      <c r="BN212" t="s">
        <v>827</v>
      </c>
      <c r="BO212" t="s">
        <v>340</v>
      </c>
      <c r="BP212" t="s">
        <v>499</v>
      </c>
      <c r="BQ212" t="s">
        <v>828</v>
      </c>
      <c r="BR212" s="3">
        <v>4.0000000000000003E-30</v>
      </c>
      <c r="BS212" t="s">
        <v>764</v>
      </c>
      <c r="BT212" t="s">
        <v>323</v>
      </c>
      <c r="BU212" t="s">
        <v>334</v>
      </c>
      <c r="BV212" t="s">
        <v>765</v>
      </c>
      <c r="BW212" s="3">
        <v>4.0000000000000003E-30</v>
      </c>
      <c r="BX212" t="s">
        <v>8</v>
      </c>
      <c r="BY212" t="s">
        <v>8</v>
      </c>
      <c r="BZ212" t="s">
        <v>8</v>
      </c>
      <c r="CA212" t="s">
        <v>8</v>
      </c>
      <c r="CB212" t="s">
        <v>8</v>
      </c>
      <c r="CC212" t="s">
        <v>8</v>
      </c>
      <c r="CD212"/>
      <c r="CE212"/>
      <c r="CF212" t="s">
        <v>8</v>
      </c>
      <c r="CG212"/>
      <c r="CH212"/>
      <c r="CI212" t="s">
        <v>8</v>
      </c>
      <c r="CJ212"/>
      <c r="CK212" t="s">
        <v>8</v>
      </c>
      <c r="CL212"/>
      <c r="CM212" t="s">
        <v>8</v>
      </c>
      <c r="CN212"/>
      <c r="CO212" t="s">
        <v>8</v>
      </c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 t="s">
        <v>8</v>
      </c>
      <c r="DD212"/>
      <c r="DE212"/>
      <c r="DF212"/>
      <c r="DG212"/>
      <c r="DH212"/>
      <c r="DI212"/>
      <c r="DJ212"/>
      <c r="DK212"/>
      <c r="DL212"/>
      <c r="DM212"/>
      <c r="DN212"/>
      <c r="DO212"/>
      <c r="DP212"/>
    </row>
    <row r="213" spans="1:120" s="6" customFormat="1">
      <c r="A213" s="6" t="str">
        <f>HYPERLINK(".\links\pep\TI-357-pep.txt","TI-357")</f>
        <v>TI-357</v>
      </c>
      <c r="B213" s="6">
        <v>357</v>
      </c>
      <c r="C213" s="6" t="s">
        <v>7</v>
      </c>
      <c r="D213" s="6">
        <v>51</v>
      </c>
      <c r="E213" s="6">
        <v>0</v>
      </c>
      <c r="F213" s="6" t="str">
        <f>HYPERLINK(".\links\cds\TI-357-cds.txt","TI-357")</f>
        <v>TI-357</v>
      </c>
      <c r="G213" s="6">
        <v>156</v>
      </c>
      <c r="I213" s="6" t="s">
        <v>29</v>
      </c>
      <c r="J213" s="6" t="s">
        <v>6</v>
      </c>
      <c r="K213" s="6">
        <v>1</v>
      </c>
      <c r="L213" s="6">
        <v>0</v>
      </c>
      <c r="M213" s="6">
        <f t="shared" si="12"/>
        <v>1</v>
      </c>
      <c r="N213" s="6">
        <f t="shared" si="13"/>
        <v>1</v>
      </c>
      <c r="O213" s="6" t="s">
        <v>1170</v>
      </c>
      <c r="P213" s="6" t="s">
        <v>1171</v>
      </c>
      <c r="T213" s="6" t="s">
        <v>8</v>
      </c>
      <c r="AK213" s="6" t="s">
        <v>8</v>
      </c>
      <c r="AY213" s="6" t="s">
        <v>8</v>
      </c>
      <c r="BL213" s="6" t="s">
        <v>8</v>
      </c>
      <c r="CC213" s="6" t="s">
        <v>8</v>
      </c>
      <c r="CF213" s="6" t="s">
        <v>8</v>
      </c>
      <c r="CI213" s="6" t="s">
        <v>8</v>
      </c>
      <c r="CK213" s="6" t="s">
        <v>8</v>
      </c>
      <c r="CM213" s="6" t="s">
        <v>8</v>
      </c>
      <c r="CO213" s="6" t="s">
        <v>8</v>
      </c>
      <c r="DC213" s="6" t="s">
        <v>8</v>
      </c>
    </row>
    <row r="214" spans="1:120" s="6" customFormat="1">
      <c r="A214" t="str">
        <f>HYPERLINK(".\links\pep\TI-358-pep.txt","TI-358")</f>
        <v>TI-358</v>
      </c>
      <c r="B214">
        <v>358</v>
      </c>
      <c r="C214" t="s">
        <v>7</v>
      </c>
      <c r="D214">
        <v>177</v>
      </c>
      <c r="E214">
        <v>0</v>
      </c>
      <c r="F214" t="str">
        <f>HYPERLINK(".\links\cds\TI-358-cds.txt","TI-358")</f>
        <v>TI-358</v>
      </c>
      <c r="G214">
        <v>528</v>
      </c>
      <c r="H214"/>
      <c r="I214" t="s">
        <v>29</v>
      </c>
      <c r="J214" t="s">
        <v>8</v>
      </c>
      <c r="K214">
        <v>1</v>
      </c>
      <c r="L214">
        <v>0</v>
      </c>
      <c r="M214">
        <f t="shared" si="12"/>
        <v>1</v>
      </c>
      <c r="N214">
        <f t="shared" si="13"/>
        <v>1</v>
      </c>
      <c r="O214" t="s">
        <v>1324</v>
      </c>
      <c r="P214" t="s">
        <v>1178</v>
      </c>
      <c r="Q214" t="str">
        <f>HYPERLINK(".\links\NR-LIGHT\TI-358-NR-LIGHT.txt","NR-LIGHT")</f>
        <v>NR-LIGHT</v>
      </c>
      <c r="R214" s="3">
        <v>4.9999999999999998E-95</v>
      </c>
      <c r="S214">
        <v>76.599999999999994</v>
      </c>
      <c r="T214" t="str">
        <f>HYPERLINK(".\links\NR-LIGHT\TI-358-NR-LIGHT.txt","Ras-related small GTPase")</f>
        <v>Ras-related small GTPase</v>
      </c>
      <c r="U214" t="str">
        <f>HYPERLINK("http://www.ncbi.nlm.nih.gov/sutils/blink.cgi?pid=149898836","5E-095")</f>
        <v>5E-095</v>
      </c>
      <c r="V214" t="str">
        <f>HYPERLINK("http://www.ncbi.nlm.nih.gov/protein/149898836","gi|149898836")</f>
        <v>gi|149898836</v>
      </c>
      <c r="W214">
        <v>348</v>
      </c>
      <c r="X214">
        <v>166</v>
      </c>
      <c r="Y214">
        <v>218</v>
      </c>
      <c r="Z214">
        <v>99</v>
      </c>
      <c r="AA214">
        <v>77</v>
      </c>
      <c r="AB214">
        <v>1</v>
      </c>
      <c r="AC214">
        <v>0</v>
      </c>
      <c r="AD214">
        <v>1</v>
      </c>
      <c r="AE214">
        <v>11</v>
      </c>
      <c r="AF214">
        <v>1</v>
      </c>
      <c r="AG214"/>
      <c r="AH214" t="s">
        <v>13</v>
      </c>
      <c r="AI214" t="s">
        <v>51</v>
      </c>
      <c r="AJ214" t="s">
        <v>273</v>
      </c>
      <c r="AK214" t="str">
        <f>HYPERLINK(".\links\SWISSP\TI-358-SWISSP.txt","Ras-related protein Rab-21 OS=Canis familiaris GN=RAB21 PE=3 SV=3")</f>
        <v>Ras-related protein Rab-21 OS=Canis familiaris GN=RAB21 PE=3 SV=3</v>
      </c>
      <c r="AL214" t="str">
        <f>HYPERLINK("http://www.uniprot.org/uniprot/P55745","4E-074")</f>
        <v>4E-074</v>
      </c>
      <c r="AM214" t="s">
        <v>204</v>
      </c>
      <c r="AN214">
        <v>276</v>
      </c>
      <c r="AO214">
        <v>154</v>
      </c>
      <c r="AP214">
        <v>223</v>
      </c>
      <c r="AQ214">
        <v>81</v>
      </c>
      <c r="AR214">
        <v>70</v>
      </c>
      <c r="AS214">
        <v>28</v>
      </c>
      <c r="AT214">
        <v>0</v>
      </c>
      <c r="AU214">
        <v>16</v>
      </c>
      <c r="AV214">
        <v>23</v>
      </c>
      <c r="AW214">
        <v>1</v>
      </c>
      <c r="AX214" t="s">
        <v>205</v>
      </c>
      <c r="AY214" t="str">
        <f>HYPERLINK(".\links\PREV-RHOD-PEP\TI-358-PREV-RHOD-PEP.txt","Contig17936_8")</f>
        <v>Contig17936_8</v>
      </c>
      <c r="AZ214" s="3">
        <v>1.9999999999999999E-94</v>
      </c>
      <c r="BA214" t="s">
        <v>1120</v>
      </c>
      <c r="BB214">
        <v>340</v>
      </c>
      <c r="BC214">
        <v>166</v>
      </c>
      <c r="BD214">
        <v>218</v>
      </c>
      <c r="BE214">
        <v>97</v>
      </c>
      <c r="BF214">
        <v>77</v>
      </c>
      <c r="BG214">
        <v>5</v>
      </c>
      <c r="BH214">
        <v>0</v>
      </c>
      <c r="BI214">
        <v>1</v>
      </c>
      <c r="BJ214">
        <v>11</v>
      </c>
      <c r="BK214">
        <v>1</v>
      </c>
      <c r="BL214" t="s">
        <v>829</v>
      </c>
      <c r="BM214">
        <f>HYPERLINK(".\links\GO\TI-358-GO.txt",1E-74)</f>
        <v>9.9999999999999996E-75</v>
      </c>
      <c r="BN214" t="s">
        <v>339</v>
      </c>
      <c r="BO214" t="s">
        <v>340</v>
      </c>
      <c r="BP214" t="s">
        <v>341</v>
      </c>
      <c r="BQ214" t="s">
        <v>342</v>
      </c>
      <c r="BR214" s="3">
        <v>4.0000000000000001E-59</v>
      </c>
      <c r="BS214" t="s">
        <v>830</v>
      </c>
      <c r="BT214" t="s">
        <v>323</v>
      </c>
      <c r="BU214" t="s">
        <v>334</v>
      </c>
      <c r="BV214" t="s">
        <v>831</v>
      </c>
      <c r="BW214" s="3">
        <v>4.0000000000000001E-59</v>
      </c>
      <c r="BX214" t="s">
        <v>832</v>
      </c>
      <c r="BY214" t="s">
        <v>340</v>
      </c>
      <c r="BZ214" t="s">
        <v>341</v>
      </c>
      <c r="CA214" t="s">
        <v>833</v>
      </c>
      <c r="CB214" s="3">
        <v>4.0000000000000001E-59</v>
      </c>
      <c r="CC214" t="s">
        <v>8</v>
      </c>
      <c r="CD214"/>
      <c r="CE214"/>
      <c r="CF214" t="s">
        <v>8</v>
      </c>
      <c r="CG214"/>
      <c r="CH214"/>
      <c r="CI214" t="s">
        <v>8</v>
      </c>
      <c r="CJ214"/>
      <c r="CK214" t="s">
        <v>8</v>
      </c>
      <c r="CL214"/>
      <c r="CM214" t="s">
        <v>8</v>
      </c>
      <c r="CN214"/>
      <c r="CO214" t="s">
        <v>8</v>
      </c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 t="s">
        <v>8</v>
      </c>
      <c r="DD214"/>
      <c r="DE214"/>
      <c r="DF214"/>
      <c r="DG214"/>
      <c r="DH214"/>
      <c r="DI214"/>
      <c r="DJ214"/>
      <c r="DK214"/>
      <c r="DL214"/>
      <c r="DM214"/>
      <c r="DN214"/>
      <c r="DO214"/>
      <c r="DP214"/>
    </row>
    <row r="215" spans="1:120" s="6" customFormat="1">
      <c r="A215" t="str">
        <f>HYPERLINK(".\links\pep\TI-360-pep.txt","TI-360")</f>
        <v>TI-360</v>
      </c>
      <c r="B215">
        <v>360</v>
      </c>
      <c r="C215" t="s">
        <v>7</v>
      </c>
      <c r="D215">
        <v>124</v>
      </c>
      <c r="E215">
        <v>0</v>
      </c>
      <c r="F215" t="str">
        <f>HYPERLINK(".\links\cds\TI-360-cds.txt","TI-360")</f>
        <v>TI-360</v>
      </c>
      <c r="G215">
        <v>375</v>
      </c>
      <c r="H215"/>
      <c r="I215" t="s">
        <v>29</v>
      </c>
      <c r="J215" t="s">
        <v>6</v>
      </c>
      <c r="K215">
        <v>2</v>
      </c>
      <c r="L215">
        <v>0</v>
      </c>
      <c r="M215">
        <f t="shared" si="12"/>
        <v>2</v>
      </c>
      <c r="N215">
        <f t="shared" si="13"/>
        <v>2</v>
      </c>
      <c r="O215" t="s">
        <v>1225</v>
      </c>
      <c r="P215" t="s">
        <v>1186</v>
      </c>
      <c r="Q215" t="str">
        <f>HYPERLINK(".\links\GO\TI-360-GO.txt","GO")</f>
        <v>GO</v>
      </c>
      <c r="R215" s="3">
        <v>2.0000000000000001E-53</v>
      </c>
      <c r="S215">
        <v>92.9</v>
      </c>
      <c r="T215" t="str">
        <f>HYPERLINK(".\links\NR-LIGHT\TI-360-NR-LIGHT.txt","similar to CG5738-PA")</f>
        <v>similar to CG5738-PA</v>
      </c>
      <c r="U215" t="str">
        <f>HYPERLINK("http://www.ncbi.nlm.nih.gov/sutils/blink.cgi?pid=156550568","5E-056")</f>
        <v>5E-056</v>
      </c>
      <c r="V215" t="str">
        <f>HYPERLINK("http://www.ncbi.nlm.nih.gov/protein/156550568","gi|156550568")</f>
        <v>gi|156550568</v>
      </c>
      <c r="W215">
        <v>218</v>
      </c>
      <c r="X215">
        <v>117</v>
      </c>
      <c r="Y215">
        <v>127</v>
      </c>
      <c r="Z215">
        <v>86</v>
      </c>
      <c r="AA215">
        <v>93</v>
      </c>
      <c r="AB215">
        <v>16</v>
      </c>
      <c r="AC215">
        <v>0</v>
      </c>
      <c r="AD215">
        <v>1</v>
      </c>
      <c r="AE215">
        <v>1</v>
      </c>
      <c r="AF215">
        <v>1</v>
      </c>
      <c r="AG215"/>
      <c r="AH215" t="s">
        <v>13</v>
      </c>
      <c r="AI215" t="s">
        <v>51</v>
      </c>
      <c r="AJ215" t="s">
        <v>294</v>
      </c>
      <c r="AK215" t="str">
        <f>HYPERLINK(".\links\SWISSP\TI-360-SWISSP.txt","Longitudinals lacking protein-like OS=Drosophila melanogaster GN=lolal PE=1 SV=1")</f>
        <v>Longitudinals lacking protein-like OS=Drosophila melanogaster GN=lolal PE=1 SV=1</v>
      </c>
      <c r="AL215" t="str">
        <f>HYPERLINK("http://www.uniprot.org/uniprot/Q7KRI2","8E-053")</f>
        <v>8E-053</v>
      </c>
      <c r="AM215" t="s">
        <v>206</v>
      </c>
      <c r="AN215">
        <v>205</v>
      </c>
      <c r="AO215">
        <v>117</v>
      </c>
      <c r="AP215">
        <v>127</v>
      </c>
      <c r="AQ215">
        <v>81</v>
      </c>
      <c r="AR215">
        <v>93</v>
      </c>
      <c r="AS215">
        <v>22</v>
      </c>
      <c r="AT215">
        <v>0</v>
      </c>
      <c r="AU215">
        <v>1</v>
      </c>
      <c r="AV215">
        <v>1</v>
      </c>
      <c r="AW215">
        <v>1</v>
      </c>
      <c r="AX215" t="s">
        <v>52</v>
      </c>
      <c r="AY215" t="str">
        <f>HYPERLINK(".\links\PREV-RHOD-PEP\TI-360-PREV-RHOD-PEP.txt","Contig17830_41")</f>
        <v>Contig17830_41</v>
      </c>
      <c r="AZ215" s="3">
        <v>1.9999999999999999E-69</v>
      </c>
      <c r="BA215" t="s">
        <v>1121</v>
      </c>
      <c r="BB215">
        <v>256</v>
      </c>
      <c r="BC215">
        <v>123</v>
      </c>
      <c r="BD215">
        <v>124</v>
      </c>
      <c r="BE215">
        <v>99</v>
      </c>
      <c r="BF215">
        <v>100</v>
      </c>
      <c r="BG215">
        <v>1</v>
      </c>
      <c r="BH215">
        <v>0</v>
      </c>
      <c r="BI215">
        <v>1</v>
      </c>
      <c r="BJ215">
        <v>1</v>
      </c>
      <c r="BK215">
        <v>1</v>
      </c>
      <c r="BL215" t="s">
        <v>834</v>
      </c>
      <c r="BM215">
        <f>HYPERLINK(".\links\GO\TI-360-GO.txt",2E-53)</f>
        <v>2.0000000000000001E-53</v>
      </c>
      <c r="BN215" t="s">
        <v>835</v>
      </c>
      <c r="BO215" t="s">
        <v>683</v>
      </c>
      <c r="BP215" t="s">
        <v>836</v>
      </c>
      <c r="BQ215" t="s">
        <v>837</v>
      </c>
      <c r="BR215" s="3">
        <v>2.0000000000000001E-53</v>
      </c>
      <c r="BS215" t="s">
        <v>447</v>
      </c>
      <c r="BT215" t="s">
        <v>323</v>
      </c>
      <c r="BU215" t="s">
        <v>334</v>
      </c>
      <c r="BV215" t="s">
        <v>448</v>
      </c>
      <c r="BW215" s="3">
        <v>2.0000000000000001E-53</v>
      </c>
      <c r="BX215" t="s">
        <v>838</v>
      </c>
      <c r="BY215" t="s">
        <v>683</v>
      </c>
      <c r="BZ215" t="s">
        <v>836</v>
      </c>
      <c r="CA215" t="s">
        <v>839</v>
      </c>
      <c r="CB215" s="3">
        <v>2.0000000000000001E-53</v>
      </c>
      <c r="CC215" t="s">
        <v>8</v>
      </c>
      <c r="CD215"/>
      <c r="CE215"/>
      <c r="CF215" t="s">
        <v>8</v>
      </c>
      <c r="CG215"/>
      <c r="CH215"/>
      <c r="CI215" t="s">
        <v>8</v>
      </c>
      <c r="CJ215"/>
      <c r="CK215" t="s">
        <v>8</v>
      </c>
      <c r="CL215"/>
      <c r="CM215" t="s">
        <v>8</v>
      </c>
      <c r="CN215"/>
      <c r="CO215" t="s">
        <v>8</v>
      </c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 t="s">
        <v>8</v>
      </c>
      <c r="DD215"/>
      <c r="DE215"/>
      <c r="DF215"/>
      <c r="DG215"/>
      <c r="DH215"/>
      <c r="DI215"/>
      <c r="DJ215"/>
      <c r="DK215"/>
      <c r="DL215"/>
      <c r="DM215"/>
      <c r="DN215"/>
      <c r="DO215"/>
      <c r="DP215"/>
    </row>
    <row r="216" spans="1:120" s="6" customFormat="1">
      <c r="A216" s="6" t="str">
        <f>HYPERLINK(".\links\pep\TI-361-pep.txt","TI-361")</f>
        <v>TI-361</v>
      </c>
      <c r="B216" s="6">
        <v>361</v>
      </c>
      <c r="C216" s="6" t="s">
        <v>18</v>
      </c>
      <c r="D216" s="6">
        <v>103</v>
      </c>
      <c r="E216" s="6">
        <v>0</v>
      </c>
      <c r="F216" s="6" t="str">
        <f>HYPERLINK(".\links\cds\TI-361-cds.txt","TI-361")</f>
        <v>TI-361</v>
      </c>
      <c r="G216" s="6">
        <v>312</v>
      </c>
      <c r="I216" s="6" t="s">
        <v>8</v>
      </c>
      <c r="J216" s="6" t="s">
        <v>6</v>
      </c>
      <c r="K216" s="6">
        <v>1</v>
      </c>
      <c r="L216" s="6">
        <v>4</v>
      </c>
      <c r="M216" s="6">
        <f t="shared" si="12"/>
        <v>-3</v>
      </c>
      <c r="N216" s="6">
        <f t="shared" si="13"/>
        <v>3</v>
      </c>
      <c r="O216" s="6" t="s">
        <v>1170</v>
      </c>
      <c r="P216" s="6" t="s">
        <v>1171</v>
      </c>
      <c r="T216" s="6" t="str">
        <f>HYPERLINK(".\links\NR-LIGHT\TI-361-NR-LIGHT.txt","AGAP000109-PA")</f>
        <v>AGAP000109-PA</v>
      </c>
      <c r="U216" s="6" t="str">
        <f>HYPERLINK("http://www.ncbi.nlm.nih.gov/sutils/blink.cgi?pid=333467316","1E-006")</f>
        <v>1E-006</v>
      </c>
      <c r="V216" s="6" t="str">
        <f>HYPERLINK("http://www.ncbi.nlm.nih.gov/protein/333467316","gi|333467316")</f>
        <v>gi|333467316</v>
      </c>
      <c r="W216" s="6">
        <v>54.3</v>
      </c>
      <c r="X216" s="6">
        <v>60</v>
      </c>
      <c r="Y216" s="6">
        <v>90</v>
      </c>
      <c r="Z216" s="6">
        <v>40</v>
      </c>
      <c r="AA216" s="6">
        <v>68</v>
      </c>
      <c r="AB216" s="6">
        <v>36</v>
      </c>
      <c r="AC216" s="6">
        <v>0</v>
      </c>
      <c r="AD216" s="6">
        <v>24</v>
      </c>
      <c r="AE216" s="6">
        <v>41</v>
      </c>
      <c r="AF216" s="6">
        <v>1</v>
      </c>
      <c r="AH216" s="6" t="s">
        <v>13</v>
      </c>
      <c r="AI216" s="6" t="s">
        <v>51</v>
      </c>
      <c r="AJ216" s="6" t="s">
        <v>275</v>
      </c>
      <c r="AK216" s="6" t="str">
        <f>HYPERLINK(".\links\SWISSP\TI-361-SWISSP.txt","Cytochrome c oxidase subunit 7A1, mitochondrial OS=Saimiri sciureus GN=COX7A1")</f>
        <v>Cytochrome c oxidase subunit 7A1, mitochondrial OS=Saimiri sciureus GN=COX7A1</v>
      </c>
      <c r="AL216" s="6" t="str">
        <f>HYPERLINK("http://www.uniprot.org/uniprot/Q53CF6","1E-004")</f>
        <v>1E-004</v>
      </c>
      <c r="AM216" s="6" t="s">
        <v>207</v>
      </c>
      <c r="AN216" s="6">
        <v>44.7</v>
      </c>
      <c r="AO216" s="6">
        <v>52</v>
      </c>
      <c r="AP216" s="6">
        <v>80</v>
      </c>
      <c r="AQ216" s="6">
        <v>36</v>
      </c>
      <c r="AR216" s="6">
        <v>66</v>
      </c>
      <c r="AS216" s="6">
        <v>38</v>
      </c>
      <c r="AT216" s="6">
        <v>7</v>
      </c>
      <c r="AU216" s="6">
        <v>14</v>
      </c>
      <c r="AV216" s="6">
        <v>33</v>
      </c>
      <c r="AW216" s="6">
        <v>1</v>
      </c>
      <c r="AX216" s="6" t="s">
        <v>208</v>
      </c>
      <c r="AY216" s="6" t="str">
        <f>HYPERLINK(".\links\PREV-RHOD-PEP\TI-361-PREV-RHOD-PEP.txt","Contig3225_5")</f>
        <v>Contig3225_5</v>
      </c>
      <c r="AZ216" s="8">
        <v>3.0000000000000003E-20</v>
      </c>
      <c r="BA216" s="6" t="s">
        <v>1122</v>
      </c>
      <c r="BB216" s="6">
        <v>93.6</v>
      </c>
      <c r="BC216" s="6">
        <v>55</v>
      </c>
      <c r="BD216" s="6">
        <v>227</v>
      </c>
      <c r="BE216" s="6">
        <v>71</v>
      </c>
      <c r="BF216" s="6">
        <v>25</v>
      </c>
      <c r="BG216" s="6">
        <v>16</v>
      </c>
      <c r="BH216" s="6">
        <v>0</v>
      </c>
      <c r="BI216" s="6">
        <v>148</v>
      </c>
      <c r="BJ216" s="6">
        <v>44</v>
      </c>
      <c r="BK216" s="6">
        <v>1</v>
      </c>
      <c r="BL216" s="6" t="s">
        <v>840</v>
      </c>
      <c r="BM216" s="6">
        <f>HYPERLINK(".\links\GO\TI-361-GO.txt",0.002)</f>
        <v>2E-3</v>
      </c>
      <c r="BN216" s="6" t="s">
        <v>841</v>
      </c>
      <c r="BO216" s="6" t="s">
        <v>319</v>
      </c>
      <c r="BP216" s="6" t="s">
        <v>320</v>
      </c>
      <c r="BQ216" s="6" t="s">
        <v>842</v>
      </c>
      <c r="BR216" s="6">
        <v>2E-3</v>
      </c>
      <c r="BS216" s="6" t="s">
        <v>843</v>
      </c>
      <c r="BT216" s="6" t="s">
        <v>323</v>
      </c>
      <c r="BU216" s="6" t="s">
        <v>551</v>
      </c>
      <c r="BV216" s="6" t="s">
        <v>844</v>
      </c>
      <c r="BW216" s="6">
        <v>2E-3</v>
      </c>
      <c r="BX216" s="6" t="s">
        <v>845</v>
      </c>
      <c r="BY216" s="6" t="s">
        <v>319</v>
      </c>
      <c r="BZ216" s="6" t="s">
        <v>320</v>
      </c>
      <c r="CA216" s="6" t="s">
        <v>846</v>
      </c>
      <c r="CB216" s="6">
        <v>2E-3</v>
      </c>
      <c r="CC216" s="6" t="s">
        <v>8</v>
      </c>
      <c r="CF216" s="6" t="s">
        <v>8</v>
      </c>
      <c r="CI216" s="6" t="s">
        <v>8</v>
      </c>
      <c r="CK216" s="6" t="s">
        <v>8</v>
      </c>
      <c r="CM216" s="6" t="s">
        <v>8</v>
      </c>
      <c r="CO216" s="6" t="s">
        <v>8</v>
      </c>
      <c r="DC216" s="6" t="s">
        <v>8</v>
      </c>
    </row>
    <row r="217" spans="1:120" s="6" customFormat="1">
      <c r="A217" t="str">
        <f>HYPERLINK(".\links\pep\TI-367-pep.txt","TI-367")</f>
        <v>TI-367</v>
      </c>
      <c r="B217">
        <v>367</v>
      </c>
      <c r="C217" t="s">
        <v>15</v>
      </c>
      <c r="D217">
        <v>167</v>
      </c>
      <c r="E217">
        <v>0</v>
      </c>
      <c r="F217" t="str">
        <f>HYPERLINK(".\links\cds\TI-367-cds.txt","TI-367")</f>
        <v>TI-367</v>
      </c>
      <c r="G217">
        <v>504</v>
      </c>
      <c r="H217"/>
      <c r="I217" t="s">
        <v>8</v>
      </c>
      <c r="J217" t="s">
        <v>6</v>
      </c>
      <c r="K217">
        <v>1</v>
      </c>
      <c r="L217">
        <v>0</v>
      </c>
      <c r="M217">
        <f t="shared" si="12"/>
        <v>1</v>
      </c>
      <c r="N217">
        <f t="shared" si="13"/>
        <v>1</v>
      </c>
      <c r="O217" t="s">
        <v>1226</v>
      </c>
      <c r="P217" t="s">
        <v>1178</v>
      </c>
      <c r="Q217" t="str">
        <f>HYPERLINK(".\links\NR-LIGHT\TI-367-NR-LIGHT.txt","NR-LIGHT")</f>
        <v>NR-LIGHT</v>
      </c>
      <c r="R217">
        <v>7.0000000000000001E-15</v>
      </c>
      <c r="S217">
        <v>17.5</v>
      </c>
      <c r="T217" t="str">
        <f>HYPERLINK(".\links\NR-LIGHT\TI-367-NR-LIGHT.txt","Amphoterin-induced protein 2 precursor, putative")</f>
        <v>Amphoterin-induced protein 2 precursor, putative</v>
      </c>
      <c r="U217" t="str">
        <f>HYPERLINK("http://www.ncbi.nlm.nih.gov/sutils/blink.cgi?pid=242008917","7E-015")</f>
        <v>7E-015</v>
      </c>
      <c r="V217" t="str">
        <f>HYPERLINK("http://www.ncbi.nlm.nih.gov/protein/242008917","gi|242008917")</f>
        <v>gi|242008917</v>
      </c>
      <c r="W217">
        <v>82</v>
      </c>
      <c r="X217">
        <v>111</v>
      </c>
      <c r="Y217">
        <v>648</v>
      </c>
      <c r="Z217">
        <v>48</v>
      </c>
      <c r="AA217">
        <v>17</v>
      </c>
      <c r="AB217">
        <v>59</v>
      </c>
      <c r="AC217">
        <v>28</v>
      </c>
      <c r="AD217">
        <v>508</v>
      </c>
      <c r="AE217">
        <v>22</v>
      </c>
      <c r="AF217">
        <v>1</v>
      </c>
      <c r="AG217"/>
      <c r="AH217" t="s">
        <v>13</v>
      </c>
      <c r="AI217" t="s">
        <v>51</v>
      </c>
      <c r="AJ217" t="s">
        <v>268</v>
      </c>
      <c r="AK217" t="s">
        <v>8</v>
      </c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 t="s">
        <v>8</v>
      </c>
      <c r="AZ217"/>
      <c r="BA217"/>
      <c r="BB217"/>
      <c r="BC217"/>
      <c r="BD217"/>
      <c r="BE217"/>
      <c r="BF217"/>
      <c r="BG217"/>
      <c r="BH217"/>
      <c r="BI217"/>
      <c r="BJ217"/>
      <c r="BK217"/>
      <c r="BL217" t="s">
        <v>8</v>
      </c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 t="s">
        <v>8</v>
      </c>
      <c r="CD217"/>
      <c r="CE217"/>
      <c r="CF217" t="s">
        <v>8</v>
      </c>
      <c r="CG217"/>
      <c r="CH217"/>
      <c r="CI217" t="s">
        <v>8</v>
      </c>
      <c r="CJ217"/>
      <c r="CK217" t="s">
        <v>8</v>
      </c>
      <c r="CL217"/>
      <c r="CM217" t="s">
        <v>8</v>
      </c>
      <c r="CN217"/>
      <c r="CO217" t="s">
        <v>8</v>
      </c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 t="s">
        <v>8</v>
      </c>
      <c r="DD217"/>
      <c r="DE217"/>
      <c r="DF217"/>
      <c r="DG217"/>
      <c r="DH217"/>
      <c r="DI217"/>
      <c r="DJ217"/>
      <c r="DK217"/>
      <c r="DL217"/>
      <c r="DM217"/>
      <c r="DN217"/>
      <c r="DO217"/>
      <c r="DP217"/>
    </row>
    <row r="218" spans="1:120" s="6" customFormat="1">
      <c r="A218" s="6" t="str">
        <f>HYPERLINK(".\links\pep\TI-369-pep.txt","TI-369")</f>
        <v>TI-369</v>
      </c>
      <c r="B218" s="6">
        <v>369</v>
      </c>
      <c r="C218" s="6" t="s">
        <v>10</v>
      </c>
      <c r="D218" s="6">
        <v>16</v>
      </c>
      <c r="E218" s="6">
        <v>0</v>
      </c>
      <c r="F218" s="6" t="str">
        <f>HYPERLINK(".\links\cds\TI-369-cds.txt","TI-369")</f>
        <v>TI-369</v>
      </c>
      <c r="G218" s="6">
        <v>51</v>
      </c>
      <c r="I218" s="6" t="s">
        <v>8</v>
      </c>
      <c r="J218" s="6" t="s">
        <v>6</v>
      </c>
      <c r="K218" s="6">
        <v>1</v>
      </c>
      <c r="L218" s="6">
        <v>0</v>
      </c>
      <c r="M218" s="6">
        <f t="shared" si="12"/>
        <v>1</v>
      </c>
      <c r="N218" s="6">
        <f t="shared" si="13"/>
        <v>1</v>
      </c>
      <c r="O218" s="6" t="s">
        <v>1170</v>
      </c>
      <c r="P218" s="6" t="s">
        <v>1171</v>
      </c>
      <c r="T218" s="6" t="s">
        <v>8</v>
      </c>
      <c r="AK218" s="6" t="s">
        <v>8</v>
      </c>
      <c r="AY218" s="6" t="s">
        <v>8</v>
      </c>
      <c r="BL218" s="6" t="s">
        <v>8</v>
      </c>
      <c r="CC218" s="6" t="s">
        <v>8</v>
      </c>
      <c r="CF218" s="6" t="s">
        <v>8</v>
      </c>
      <c r="CI218" s="6" t="s">
        <v>8</v>
      </c>
      <c r="CK218" s="6" t="s">
        <v>8</v>
      </c>
      <c r="CM218" s="6" t="s">
        <v>8</v>
      </c>
      <c r="CO218" s="6" t="s">
        <v>8</v>
      </c>
      <c r="DC218" s="6" t="s">
        <v>8</v>
      </c>
    </row>
    <row r="219" spans="1:120" s="6" customFormat="1">
      <c r="A219" t="str">
        <f>HYPERLINK(".\links\pep\TI-370-pep.txt","TI-370")</f>
        <v>TI-370</v>
      </c>
      <c r="B219">
        <v>370</v>
      </c>
      <c r="C219" t="s">
        <v>16</v>
      </c>
      <c r="D219">
        <v>206</v>
      </c>
      <c r="E219" s="2">
        <v>2.4271850000000001</v>
      </c>
      <c r="F219" t="str">
        <f>HYPERLINK(".\links\cds\TI-370-cds.txt","TI-370")</f>
        <v>TI-370</v>
      </c>
      <c r="G219">
        <v>616</v>
      </c>
      <c r="H219"/>
      <c r="I219" t="s">
        <v>8</v>
      </c>
      <c r="J219" t="s">
        <v>8</v>
      </c>
      <c r="K219">
        <v>0</v>
      </c>
      <c r="L219">
        <v>1</v>
      </c>
      <c r="M219">
        <f t="shared" si="12"/>
        <v>-1</v>
      </c>
      <c r="N219">
        <f t="shared" si="13"/>
        <v>1</v>
      </c>
      <c r="O219" t="s">
        <v>1227</v>
      </c>
      <c r="P219" t="s">
        <v>1196</v>
      </c>
      <c r="Q219" t="str">
        <f>HYPERLINK(".\links\NR-LIGHT\TI-370-NR-LIGHT.txt","NR-LIGHT")</f>
        <v>NR-LIGHT</v>
      </c>
      <c r="R219">
        <v>0</v>
      </c>
      <c r="S219">
        <v>22.2</v>
      </c>
      <c r="T219" t="str">
        <f>HYPERLINK(".\links\NR-LIGHT\TI-370-NR-LIGHT.txt","capsid protein precursor")</f>
        <v>capsid protein precursor</v>
      </c>
      <c r="U219" t="str">
        <f>HYPERLINK("http://www.ncbi.nlm.nih.gov/sutils/blink.cgi?pid=20451030","1E-103")</f>
        <v>1E-103</v>
      </c>
      <c r="V219" t="str">
        <f>HYPERLINK("http://www.ncbi.nlm.nih.gov/protein/20451030","gi|20451030")</f>
        <v>gi|20451030</v>
      </c>
      <c r="W219">
        <v>377</v>
      </c>
      <c r="X219">
        <v>192</v>
      </c>
      <c r="Y219">
        <v>868</v>
      </c>
      <c r="Z219">
        <v>95</v>
      </c>
      <c r="AA219">
        <v>22</v>
      </c>
      <c r="AB219">
        <v>8</v>
      </c>
      <c r="AC219">
        <v>0</v>
      </c>
      <c r="AD219">
        <v>15</v>
      </c>
      <c r="AE219">
        <v>1</v>
      </c>
      <c r="AF219">
        <v>1</v>
      </c>
      <c r="AG219"/>
      <c r="AH219" t="s">
        <v>13</v>
      </c>
      <c r="AI219" t="s">
        <v>51</v>
      </c>
      <c r="AJ219" t="s">
        <v>269</v>
      </c>
      <c r="AK219" t="str">
        <f>HYPERLINK(".\links\SWISSP\TI-370-SWISSP.txt","Structural polyprotein OS=Cricket paralysis virus (isolate Teleogryllus")</f>
        <v>Structural polyprotein OS=Cricket paralysis virus (isolate Teleogryllus</v>
      </c>
      <c r="AL219" t="str">
        <f>HYPERLINK("http://www.uniprot.org/uniprot/P13418","5E-021")</f>
        <v>5E-021</v>
      </c>
      <c r="AM219" t="s">
        <v>92</v>
      </c>
      <c r="AN219">
        <v>100</v>
      </c>
      <c r="AO219">
        <v>131</v>
      </c>
      <c r="AP219">
        <v>895</v>
      </c>
      <c r="AQ219">
        <v>38</v>
      </c>
      <c r="AR219">
        <v>15</v>
      </c>
      <c r="AS219">
        <v>82</v>
      </c>
      <c r="AT219">
        <v>2</v>
      </c>
      <c r="AU219">
        <v>60</v>
      </c>
      <c r="AV219">
        <v>62</v>
      </c>
      <c r="AW219">
        <v>1</v>
      </c>
      <c r="AX219" t="s">
        <v>93</v>
      </c>
      <c r="AY219" t="s">
        <v>8</v>
      </c>
      <c r="AZ219"/>
      <c r="BA219"/>
      <c r="BB219"/>
      <c r="BC219"/>
      <c r="BD219"/>
      <c r="BE219"/>
      <c r="BF219"/>
      <c r="BG219"/>
      <c r="BH219"/>
      <c r="BI219"/>
      <c r="BJ219"/>
      <c r="BK219"/>
      <c r="BL219" t="s">
        <v>8</v>
      </c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 t="s">
        <v>8</v>
      </c>
      <c r="CD219"/>
      <c r="CE219"/>
      <c r="CF219" t="s">
        <v>8</v>
      </c>
      <c r="CG219"/>
      <c r="CH219"/>
      <c r="CI219" t="s">
        <v>8</v>
      </c>
      <c r="CJ219"/>
      <c r="CK219" t="s">
        <v>8</v>
      </c>
      <c r="CL219"/>
      <c r="CM219" t="s">
        <v>8</v>
      </c>
      <c r="CN219"/>
      <c r="CO219" t="s">
        <v>8</v>
      </c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 t="s">
        <v>8</v>
      </c>
      <c r="DD219"/>
      <c r="DE219"/>
      <c r="DF219"/>
      <c r="DG219"/>
      <c r="DH219"/>
      <c r="DI219"/>
      <c r="DJ219"/>
      <c r="DK219"/>
      <c r="DL219"/>
      <c r="DM219"/>
      <c r="DN219"/>
      <c r="DO219"/>
      <c r="DP219"/>
    </row>
    <row r="220" spans="1:120" s="6" customFormat="1">
      <c r="A220" s="6" t="str">
        <f>HYPERLINK(".\links\pep\TI-372-pep.txt","TI-372")</f>
        <v>TI-372</v>
      </c>
      <c r="B220" s="6">
        <v>372</v>
      </c>
      <c r="C220" s="6" t="s">
        <v>7</v>
      </c>
      <c r="D220" s="6">
        <v>50</v>
      </c>
      <c r="E220" s="6">
        <v>0</v>
      </c>
      <c r="F220" s="6" t="str">
        <f>HYPERLINK(".\links\cds\TI-372-cds.txt","TI-372")</f>
        <v>TI-372</v>
      </c>
      <c r="G220" s="6">
        <v>153</v>
      </c>
      <c r="I220" s="6" t="s">
        <v>29</v>
      </c>
      <c r="J220" s="6" t="s">
        <v>6</v>
      </c>
      <c r="K220" s="6">
        <v>0</v>
      </c>
      <c r="L220" s="6">
        <v>1</v>
      </c>
      <c r="M220" s="6">
        <f t="shared" si="12"/>
        <v>-1</v>
      </c>
      <c r="N220" s="6">
        <f t="shared" si="13"/>
        <v>1</v>
      </c>
      <c r="O220" s="6" t="s">
        <v>1170</v>
      </c>
      <c r="P220" s="6" t="s">
        <v>1171</v>
      </c>
      <c r="T220" s="6" t="s">
        <v>8</v>
      </c>
      <c r="AK220" s="6" t="s">
        <v>8</v>
      </c>
      <c r="AY220" s="6" t="s">
        <v>8</v>
      </c>
      <c r="BL220" s="6" t="s">
        <v>8</v>
      </c>
      <c r="CC220" s="6" t="s">
        <v>8</v>
      </c>
      <c r="CF220" s="6" t="s">
        <v>8</v>
      </c>
      <c r="CI220" s="6" t="s">
        <v>8</v>
      </c>
      <c r="CK220" s="6" t="s">
        <v>8</v>
      </c>
      <c r="CM220" s="6" t="s">
        <v>8</v>
      </c>
      <c r="CO220" s="6" t="s">
        <v>8</v>
      </c>
      <c r="DC220" s="6" t="s">
        <v>8</v>
      </c>
    </row>
    <row r="221" spans="1:120" s="6" customFormat="1">
      <c r="A221" s="6" t="str">
        <f>HYPERLINK(".\links\pep\TI-376-pep.txt","TI-376")</f>
        <v>TI-376</v>
      </c>
      <c r="B221" s="6">
        <v>376</v>
      </c>
      <c r="C221" s="6" t="s">
        <v>16</v>
      </c>
      <c r="D221" s="6">
        <v>23</v>
      </c>
      <c r="E221" s="6">
        <v>0</v>
      </c>
      <c r="F221" s="6" t="str">
        <f>HYPERLINK(".\links\cds\TI-376-cds.txt","TI-376")</f>
        <v>TI-376</v>
      </c>
      <c r="G221" s="6">
        <v>72</v>
      </c>
      <c r="I221" s="6" t="s">
        <v>8</v>
      </c>
      <c r="J221" s="6" t="s">
        <v>6</v>
      </c>
      <c r="K221" s="6">
        <v>0</v>
      </c>
      <c r="L221" s="6">
        <v>1</v>
      </c>
      <c r="M221" s="6">
        <f t="shared" si="12"/>
        <v>-1</v>
      </c>
      <c r="N221" s="6">
        <f t="shared" si="13"/>
        <v>1</v>
      </c>
      <c r="O221" s="6" t="s">
        <v>1170</v>
      </c>
      <c r="P221" s="6" t="s">
        <v>1171</v>
      </c>
      <c r="T221" s="6" t="s">
        <v>8</v>
      </c>
      <c r="AK221" s="6" t="s">
        <v>8</v>
      </c>
      <c r="AY221" s="6" t="s">
        <v>8</v>
      </c>
      <c r="BL221" s="6" t="s">
        <v>8</v>
      </c>
      <c r="CC221" s="6" t="s">
        <v>8</v>
      </c>
      <c r="CF221" s="6" t="s">
        <v>8</v>
      </c>
      <c r="CI221" s="6" t="s">
        <v>8</v>
      </c>
      <c r="CK221" s="6" t="s">
        <v>8</v>
      </c>
      <c r="CM221" s="6" t="s">
        <v>8</v>
      </c>
      <c r="CO221" s="6" t="s">
        <v>8</v>
      </c>
      <c r="DC221" s="6" t="s">
        <v>8</v>
      </c>
    </row>
    <row r="222" spans="1:120" s="6" customFormat="1">
      <c r="A222" s="6" t="str">
        <f>HYPERLINK(".\links\pep\TI-379-pep.txt","TI-379")</f>
        <v>TI-379</v>
      </c>
      <c r="B222" s="6">
        <v>379</v>
      </c>
      <c r="C222" s="6" t="s">
        <v>7</v>
      </c>
      <c r="D222" s="6">
        <v>31</v>
      </c>
      <c r="E222" s="6">
        <v>0</v>
      </c>
      <c r="F222" s="6" t="str">
        <f>HYPERLINK(".\links\cds\TI-379-cds.txt","TI-379")</f>
        <v>TI-379</v>
      </c>
      <c r="G222" s="6">
        <v>96</v>
      </c>
      <c r="I222" s="6" t="s">
        <v>29</v>
      </c>
      <c r="J222" s="6" t="s">
        <v>6</v>
      </c>
      <c r="K222" s="6">
        <v>1</v>
      </c>
      <c r="L222" s="6">
        <v>0</v>
      </c>
      <c r="M222" s="6">
        <f t="shared" si="12"/>
        <v>1</v>
      </c>
      <c r="N222" s="6">
        <f t="shared" si="13"/>
        <v>1</v>
      </c>
      <c r="O222" s="6" t="s">
        <v>1170</v>
      </c>
      <c r="P222" s="6" t="s">
        <v>1171</v>
      </c>
      <c r="T222" s="6" t="s">
        <v>8</v>
      </c>
      <c r="AK222" s="6" t="s">
        <v>8</v>
      </c>
      <c r="AY222" s="6" t="s">
        <v>8</v>
      </c>
      <c r="BL222" s="6" t="s">
        <v>8</v>
      </c>
      <c r="CC222" s="6" t="s">
        <v>8</v>
      </c>
      <c r="CF222" s="6" t="s">
        <v>8</v>
      </c>
      <c r="CI222" s="6" t="s">
        <v>8</v>
      </c>
      <c r="CK222" s="6" t="s">
        <v>8</v>
      </c>
      <c r="CM222" s="6" t="s">
        <v>8</v>
      </c>
      <c r="CO222" s="6" t="s">
        <v>8</v>
      </c>
      <c r="DC222" s="6" t="s">
        <v>8</v>
      </c>
    </row>
    <row r="223" spans="1:120" s="4" customFormat="1">
      <c r="A223" s="6" t="str">
        <f>HYPERLINK(".\links\pep\TI-380-pep.txt","TI-380")</f>
        <v>TI-380</v>
      </c>
      <c r="B223" s="6">
        <v>380</v>
      </c>
      <c r="C223" s="6" t="s">
        <v>25</v>
      </c>
      <c r="D223" s="6">
        <v>37</v>
      </c>
      <c r="E223" s="6">
        <v>0</v>
      </c>
      <c r="F223" s="6" t="str">
        <f>HYPERLINK(".\links\cds\TI-380-cds.txt","TI-380")</f>
        <v>TI-380</v>
      </c>
      <c r="G223" s="6">
        <v>114</v>
      </c>
      <c r="H223" s="6"/>
      <c r="I223" s="6" t="s">
        <v>8</v>
      </c>
      <c r="J223" s="6" t="s">
        <v>6</v>
      </c>
      <c r="K223" s="6">
        <v>1</v>
      </c>
      <c r="L223" s="6">
        <v>0</v>
      </c>
      <c r="M223" s="6">
        <f t="shared" si="12"/>
        <v>1</v>
      </c>
      <c r="N223" s="6">
        <f t="shared" si="13"/>
        <v>1</v>
      </c>
      <c r="O223" s="6" t="s">
        <v>1170</v>
      </c>
      <c r="P223" s="6" t="s">
        <v>1171</v>
      </c>
      <c r="Q223" s="6"/>
      <c r="R223" s="6"/>
      <c r="S223" s="6"/>
      <c r="T223" s="6" t="s">
        <v>8</v>
      </c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 t="s">
        <v>8</v>
      </c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 t="s">
        <v>8</v>
      </c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 t="s">
        <v>8</v>
      </c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 t="s">
        <v>8</v>
      </c>
      <c r="CD223" s="6"/>
      <c r="CE223" s="6"/>
      <c r="CF223" s="6" t="s">
        <v>8</v>
      </c>
      <c r="CG223" s="6"/>
      <c r="CH223" s="6"/>
      <c r="CI223" s="6" t="s">
        <v>8</v>
      </c>
      <c r="CJ223" s="6"/>
      <c r="CK223" s="6" t="s">
        <v>8</v>
      </c>
      <c r="CL223" s="6"/>
      <c r="CM223" s="6" t="s">
        <v>8</v>
      </c>
      <c r="CN223" s="6"/>
      <c r="CO223" s="6" t="s">
        <v>8</v>
      </c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 t="s">
        <v>8</v>
      </c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</row>
    <row r="224" spans="1:120" s="4" customFormat="1">
      <c r="A224" t="str">
        <f>HYPERLINK(".\links\pep\TI-382-pep.txt","TI-382")</f>
        <v>TI-382</v>
      </c>
      <c r="B224">
        <v>382</v>
      </c>
      <c r="C224" t="s">
        <v>7</v>
      </c>
      <c r="D224">
        <v>90</v>
      </c>
      <c r="E224">
        <v>0</v>
      </c>
      <c r="F224" t="str">
        <f>HYPERLINK(".\links\cds\TI-382-cds.txt","TI-382")</f>
        <v>TI-382</v>
      </c>
      <c r="G224">
        <v>273</v>
      </c>
      <c r="H224"/>
      <c r="I224" t="s">
        <v>29</v>
      </c>
      <c r="J224" t="s">
        <v>6</v>
      </c>
      <c r="K224">
        <v>2</v>
      </c>
      <c r="L224">
        <v>0</v>
      </c>
      <c r="M224">
        <f t="shared" si="12"/>
        <v>2</v>
      </c>
      <c r="N224">
        <f t="shared" si="13"/>
        <v>2</v>
      </c>
      <c r="O224" t="s">
        <v>1325</v>
      </c>
      <c r="P224" t="s">
        <v>1172</v>
      </c>
      <c r="Q224" t="str">
        <f>HYPERLINK(".\links\GO\TI-382-GO.txt","GO")</f>
        <v>GO</v>
      </c>
      <c r="R224" s="3">
        <v>3.0000000000000003E-20</v>
      </c>
      <c r="S224">
        <v>16.2</v>
      </c>
      <c r="T224" t="str">
        <f>HYPERLINK(".\links\NR-LIGHT\TI-382-NR-LIGHT.txt","hypothetical protein TcasGA2_TC000583")</f>
        <v>hypothetical protein TcasGA2_TC000583</v>
      </c>
      <c r="U224" t="str">
        <f>HYPERLINK("http://www.ncbi.nlm.nih.gov/sutils/blink.cgi?pid=270001710","2E-022")</f>
        <v>2E-022</v>
      </c>
      <c r="V224" t="str">
        <f>HYPERLINK("http://www.ncbi.nlm.nih.gov/protein/270001710","gi|270001710")</f>
        <v>gi|270001710</v>
      </c>
      <c r="W224">
        <v>106</v>
      </c>
      <c r="X224">
        <v>89</v>
      </c>
      <c r="Y224">
        <v>533</v>
      </c>
      <c r="Z224">
        <v>54</v>
      </c>
      <c r="AA224">
        <v>17</v>
      </c>
      <c r="AB224">
        <v>41</v>
      </c>
      <c r="AC224">
        <v>0</v>
      </c>
      <c r="AD224">
        <v>444</v>
      </c>
      <c r="AE224">
        <v>1</v>
      </c>
      <c r="AF224">
        <v>1</v>
      </c>
      <c r="AG224"/>
      <c r="AH224" t="s">
        <v>13</v>
      </c>
      <c r="AI224" t="s">
        <v>51</v>
      </c>
      <c r="AJ224" t="s">
        <v>266</v>
      </c>
      <c r="AK224" t="str">
        <f>HYPERLINK(".\links\SWISSP\TI-382-SWISSP.txt","B(0,+)-type amino acid transporter 1 OS=Homo sapiens GN=SLC7A9 PE=1 SV=1")</f>
        <v>B(0,+)-type amino acid transporter 1 OS=Homo sapiens GN=SLC7A9 PE=1 SV=1</v>
      </c>
      <c r="AL224" t="str">
        <f>HYPERLINK("http://www.uniprot.org/uniprot/P82251","8E-011")</f>
        <v>8E-011</v>
      </c>
      <c r="AM224" t="s">
        <v>209</v>
      </c>
      <c r="AN224">
        <v>65.900000000000006</v>
      </c>
      <c r="AO224">
        <v>85</v>
      </c>
      <c r="AP224">
        <v>487</v>
      </c>
      <c r="AQ224">
        <v>43</v>
      </c>
      <c r="AR224">
        <v>18</v>
      </c>
      <c r="AS224">
        <v>49</v>
      </c>
      <c r="AT224">
        <v>2</v>
      </c>
      <c r="AU224">
        <v>396</v>
      </c>
      <c r="AV224">
        <v>1</v>
      </c>
      <c r="AW224">
        <v>1</v>
      </c>
      <c r="AX224" t="s">
        <v>68</v>
      </c>
      <c r="AY224" t="str">
        <f>HYPERLINK(".\links\PREV-RHOD-PEP\TI-382-PREV-RHOD-PEP.txt","Contig17851_6")</f>
        <v>Contig17851_6</v>
      </c>
      <c r="AZ224" s="3">
        <v>1E-26</v>
      </c>
      <c r="BA224" t="s">
        <v>1123</v>
      </c>
      <c r="BB224">
        <v>114</v>
      </c>
      <c r="BC224">
        <v>69</v>
      </c>
      <c r="BD224">
        <v>423</v>
      </c>
      <c r="BE224">
        <v>78</v>
      </c>
      <c r="BF224">
        <v>17</v>
      </c>
      <c r="BG224">
        <v>15</v>
      </c>
      <c r="BH224">
        <v>0</v>
      </c>
      <c r="BI224">
        <v>344</v>
      </c>
      <c r="BJ224">
        <v>1</v>
      </c>
      <c r="BK224">
        <v>1</v>
      </c>
      <c r="BL224" t="s">
        <v>847</v>
      </c>
      <c r="BM224">
        <f>HYPERLINK(".\links\GO\TI-382-GO.txt",3E-20)</f>
        <v>3.0000000000000003E-20</v>
      </c>
      <c r="BN224" t="s">
        <v>848</v>
      </c>
      <c r="BO224" t="s">
        <v>319</v>
      </c>
      <c r="BP224" t="s">
        <v>320</v>
      </c>
      <c r="BQ224" t="s">
        <v>849</v>
      </c>
      <c r="BR224">
        <v>1.9999999999999999E-11</v>
      </c>
      <c r="BS224" t="s">
        <v>375</v>
      </c>
      <c r="BT224" t="s">
        <v>375</v>
      </c>
      <c r="BU224"/>
      <c r="BV224" t="s">
        <v>376</v>
      </c>
      <c r="BW224">
        <v>1.9999999999999999E-11</v>
      </c>
      <c r="BX224" t="s">
        <v>409</v>
      </c>
      <c r="BY224" t="s">
        <v>319</v>
      </c>
      <c r="BZ224" t="s">
        <v>320</v>
      </c>
      <c r="CA224" t="s">
        <v>410</v>
      </c>
      <c r="CB224">
        <v>1.9999999999999999E-11</v>
      </c>
      <c r="CC224" t="s">
        <v>8</v>
      </c>
      <c r="CD224"/>
      <c r="CE224"/>
      <c r="CF224" t="s">
        <v>8</v>
      </c>
      <c r="CG224"/>
      <c r="CH224"/>
      <c r="CI224" t="s">
        <v>8</v>
      </c>
      <c r="CJ224"/>
      <c r="CK224" t="s">
        <v>8</v>
      </c>
      <c r="CL224"/>
      <c r="CM224" t="s">
        <v>8</v>
      </c>
      <c r="CN224"/>
      <c r="CO224" t="s">
        <v>8</v>
      </c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 t="s">
        <v>8</v>
      </c>
      <c r="DD224"/>
      <c r="DE224"/>
      <c r="DF224"/>
      <c r="DG224"/>
      <c r="DH224"/>
      <c r="DI224"/>
      <c r="DJ224"/>
      <c r="DK224"/>
      <c r="DL224"/>
      <c r="DM224"/>
      <c r="DN224"/>
      <c r="DO224"/>
      <c r="DP224"/>
    </row>
    <row r="225" spans="1:120" s="4" customFormat="1">
      <c r="A225" t="str">
        <f>HYPERLINK(".\links\pep\TI-384-pep.txt","TI-384")</f>
        <v>TI-384</v>
      </c>
      <c r="B225">
        <v>384</v>
      </c>
      <c r="C225" t="s">
        <v>7</v>
      </c>
      <c r="D225">
        <v>208</v>
      </c>
      <c r="E225">
        <v>0</v>
      </c>
      <c r="F225" t="str">
        <f>HYPERLINK(".\links\cds\TI-384-cds.txt","TI-384")</f>
        <v>TI-384</v>
      </c>
      <c r="G225">
        <v>625</v>
      </c>
      <c r="H225"/>
      <c r="I225" t="s">
        <v>29</v>
      </c>
      <c r="J225" t="s">
        <v>6</v>
      </c>
      <c r="K225">
        <v>0</v>
      </c>
      <c r="L225">
        <v>1</v>
      </c>
      <c r="M225">
        <f t="shared" si="12"/>
        <v>-1</v>
      </c>
      <c r="N225">
        <f t="shared" si="13"/>
        <v>1</v>
      </c>
      <c r="O225" t="s">
        <v>1326</v>
      </c>
      <c r="P225" t="s">
        <v>1188</v>
      </c>
      <c r="Q225" t="str">
        <f>HYPERLINK(".\links\NR-LIGHT\TI-384-NR-LIGHT.txt","NR-LIGHT")</f>
        <v>NR-LIGHT</v>
      </c>
      <c r="R225" s="3">
        <v>9.9999999999999999E-96</v>
      </c>
      <c r="S225">
        <v>41.1</v>
      </c>
      <c r="T225" t="str">
        <f>HYPERLINK(".\links\NR-LIGHT\TI-384-NR-LIGHT.txt","catalase")</f>
        <v>catalase</v>
      </c>
      <c r="U225" t="str">
        <f>HYPERLINK("http://www.ncbi.nlm.nih.gov/sutils/blink.cgi?pid=157135803","1E-095")</f>
        <v>1E-095</v>
      </c>
      <c r="V225" t="str">
        <f>HYPERLINK("http://www.ncbi.nlm.nih.gov/protein/157135803","gi|157135803")</f>
        <v>gi|157135803</v>
      </c>
      <c r="W225">
        <v>351</v>
      </c>
      <c r="X225">
        <v>207</v>
      </c>
      <c r="Y225">
        <v>505</v>
      </c>
      <c r="Z225">
        <v>78</v>
      </c>
      <c r="AA225">
        <v>41</v>
      </c>
      <c r="AB225">
        <v>45</v>
      </c>
      <c r="AC225">
        <v>0</v>
      </c>
      <c r="AD225">
        <v>1</v>
      </c>
      <c r="AE225">
        <v>1</v>
      </c>
      <c r="AF225">
        <v>1</v>
      </c>
      <c r="AG225"/>
      <c r="AH225" t="s">
        <v>13</v>
      </c>
      <c r="AI225" t="s">
        <v>51</v>
      </c>
      <c r="AJ225" t="s">
        <v>76</v>
      </c>
      <c r="AK225" t="str">
        <f>HYPERLINK(".\links\SWISSP\TI-384-SWISSP.txt","Catalase OS=Drosophila melanogaster GN=Cat PE=1 SV=2")</f>
        <v>Catalase OS=Drosophila melanogaster GN=Cat PE=1 SV=2</v>
      </c>
      <c r="AL225" t="str">
        <f>HYPERLINK("http://www.uniprot.org/uniprot/P17336","2E-091")</f>
        <v>2E-091</v>
      </c>
      <c r="AM225" t="s">
        <v>210</v>
      </c>
      <c r="AN225">
        <v>335</v>
      </c>
      <c r="AO225">
        <v>206</v>
      </c>
      <c r="AP225">
        <v>506</v>
      </c>
      <c r="AQ225">
        <v>74</v>
      </c>
      <c r="AR225">
        <v>41</v>
      </c>
      <c r="AS225">
        <v>53</v>
      </c>
      <c r="AT225">
        <v>1</v>
      </c>
      <c r="AU225">
        <v>4</v>
      </c>
      <c r="AV225">
        <v>3</v>
      </c>
      <c r="AW225">
        <v>1</v>
      </c>
      <c r="AX225" t="s">
        <v>52</v>
      </c>
      <c r="AY225" t="str">
        <f>HYPERLINK(".\links\PREV-RHOD-PEP\TI-384-PREV-RHOD-PEP.txt","Contig17575_33")</f>
        <v>Contig17575_33</v>
      </c>
      <c r="AZ225" s="3">
        <v>1.0000000000000001E-115</v>
      </c>
      <c r="BA225" t="s">
        <v>1124</v>
      </c>
      <c r="BB225">
        <v>408</v>
      </c>
      <c r="BC225">
        <v>212</v>
      </c>
      <c r="BD225">
        <v>439</v>
      </c>
      <c r="BE225">
        <v>92</v>
      </c>
      <c r="BF225">
        <v>49</v>
      </c>
      <c r="BG225">
        <v>15</v>
      </c>
      <c r="BH225">
        <v>5</v>
      </c>
      <c r="BI225">
        <v>1</v>
      </c>
      <c r="BJ225">
        <v>1</v>
      </c>
      <c r="BK225">
        <v>1</v>
      </c>
      <c r="BL225" t="s">
        <v>850</v>
      </c>
      <c r="BM225">
        <f>HYPERLINK(".\links\GO\TI-384-GO.txt",5E-92)</f>
        <v>5.0000000000000001E-92</v>
      </c>
      <c r="BN225" t="s">
        <v>851</v>
      </c>
      <c r="BO225" t="s">
        <v>345</v>
      </c>
      <c r="BP225" t="s">
        <v>368</v>
      </c>
      <c r="BQ225" t="s">
        <v>852</v>
      </c>
      <c r="BR225" s="3">
        <v>5.0000000000000001E-92</v>
      </c>
      <c r="BS225" t="s">
        <v>853</v>
      </c>
      <c r="BT225" t="s">
        <v>323</v>
      </c>
      <c r="BU225" t="s">
        <v>334</v>
      </c>
      <c r="BV225" t="s">
        <v>854</v>
      </c>
      <c r="BW225" s="3">
        <v>5.0000000000000001E-92</v>
      </c>
      <c r="BX225" t="s">
        <v>855</v>
      </c>
      <c r="BY225" t="s">
        <v>345</v>
      </c>
      <c r="BZ225" t="s">
        <v>368</v>
      </c>
      <c r="CA225" t="s">
        <v>856</v>
      </c>
      <c r="CB225" s="3">
        <v>5.0000000000000001E-92</v>
      </c>
      <c r="CC225" t="s">
        <v>8</v>
      </c>
      <c r="CD225"/>
      <c r="CE225"/>
      <c r="CF225" t="s">
        <v>8</v>
      </c>
      <c r="CG225"/>
      <c r="CH225"/>
      <c r="CI225" t="s">
        <v>8</v>
      </c>
      <c r="CJ225"/>
      <c r="CK225" t="s">
        <v>8</v>
      </c>
      <c r="CL225"/>
      <c r="CM225" t="s">
        <v>8</v>
      </c>
      <c r="CN225"/>
      <c r="CO225" t="s">
        <v>8</v>
      </c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 t="s">
        <v>8</v>
      </c>
      <c r="DD225"/>
      <c r="DE225"/>
      <c r="DF225"/>
      <c r="DG225"/>
      <c r="DH225"/>
      <c r="DI225"/>
      <c r="DJ225"/>
      <c r="DK225"/>
      <c r="DL225"/>
      <c r="DM225"/>
      <c r="DN225"/>
      <c r="DO225"/>
      <c r="DP225"/>
    </row>
    <row r="226" spans="1:120" s="4" customFormat="1">
      <c r="A226" t="str">
        <f>HYPERLINK(".\links\pep\TI-386-pep.txt","TI-386")</f>
        <v>TI-386</v>
      </c>
      <c r="B226">
        <v>386</v>
      </c>
      <c r="C226" t="s">
        <v>15</v>
      </c>
      <c r="D226">
        <v>157</v>
      </c>
      <c r="E226">
        <v>0</v>
      </c>
      <c r="F226" t="str">
        <f>HYPERLINK(".\links\cds\TI-386-cds.txt","TI-386")</f>
        <v>TI-386</v>
      </c>
      <c r="G226">
        <v>469</v>
      </c>
      <c r="H226"/>
      <c r="I226" t="s">
        <v>8</v>
      </c>
      <c r="J226" t="s">
        <v>6</v>
      </c>
      <c r="K226">
        <v>0</v>
      </c>
      <c r="L226">
        <v>1</v>
      </c>
      <c r="M226">
        <f t="shared" si="12"/>
        <v>-1</v>
      </c>
      <c r="N226">
        <f t="shared" si="13"/>
        <v>1</v>
      </c>
      <c r="O226" t="s">
        <v>1207</v>
      </c>
      <c r="P226" t="s">
        <v>1196</v>
      </c>
      <c r="Q226" t="str">
        <f>HYPERLINK(".\links\NR-LIGHT\TI-386-NR-LIGHT.txt","NR-LIGHT")</f>
        <v>NR-LIGHT</v>
      </c>
      <c r="R226" s="3">
        <v>6.9999999999999997E-32</v>
      </c>
      <c r="S226">
        <v>4.4000000000000004</v>
      </c>
      <c r="T226" t="str">
        <f>HYPERLINK(".\links\NR-LIGHT\TI-386-NR-LIGHT.txt","polyprotein")</f>
        <v>polyprotein</v>
      </c>
      <c r="U226" t="str">
        <f>HYPERLINK("http://www.ncbi.nlm.nih.gov/sutils/blink.cgi?pid=296005647","7E-032")</f>
        <v>7E-032</v>
      </c>
      <c r="V226" t="str">
        <f>HYPERLINK("http://www.ncbi.nlm.nih.gov/protein/296005647","gi|296005647")</f>
        <v>gi|296005647</v>
      </c>
      <c r="W226">
        <v>138</v>
      </c>
      <c r="X226">
        <v>128</v>
      </c>
      <c r="Y226">
        <v>2964</v>
      </c>
      <c r="Z226">
        <v>47</v>
      </c>
      <c r="AA226">
        <v>4</v>
      </c>
      <c r="AB226">
        <v>69</v>
      </c>
      <c r="AC226">
        <v>3</v>
      </c>
      <c r="AD226">
        <v>2397</v>
      </c>
      <c r="AE226">
        <v>26</v>
      </c>
      <c r="AF226">
        <v>1</v>
      </c>
      <c r="AG226"/>
      <c r="AH226" t="s">
        <v>13</v>
      </c>
      <c r="AI226" t="s">
        <v>51</v>
      </c>
      <c r="AJ226" t="s">
        <v>286</v>
      </c>
      <c r="AK226" t="str">
        <f>HYPERLINK(".\links\SWISSP\TI-386-SWISSP.txt","Genome polyprotein OS=Rice tungro spherical virus (strain A) PE=1 SV=1")</f>
        <v>Genome polyprotein OS=Rice tungro spherical virus (strain A) PE=1 SV=1</v>
      </c>
      <c r="AL226" t="str">
        <f>HYPERLINK("http://www.uniprot.org/uniprot/Q83034","2E-004")</f>
        <v>2E-004</v>
      </c>
      <c r="AM226" t="s">
        <v>166</v>
      </c>
      <c r="AN226">
        <v>45.1</v>
      </c>
      <c r="AO226">
        <v>144</v>
      </c>
      <c r="AP226">
        <v>3473</v>
      </c>
      <c r="AQ226">
        <v>31</v>
      </c>
      <c r="AR226">
        <v>4</v>
      </c>
      <c r="AS226">
        <v>100</v>
      </c>
      <c r="AT226">
        <v>18</v>
      </c>
      <c r="AU226">
        <v>2830</v>
      </c>
      <c r="AV226">
        <v>27</v>
      </c>
      <c r="AW226">
        <v>1</v>
      </c>
      <c r="AX226" t="s">
        <v>167</v>
      </c>
      <c r="AY226" t="s">
        <v>8</v>
      </c>
      <c r="AZ226"/>
      <c r="BA226"/>
      <c r="BB226"/>
      <c r="BC226"/>
      <c r="BD226"/>
      <c r="BE226"/>
      <c r="BF226"/>
      <c r="BG226"/>
      <c r="BH226"/>
      <c r="BI226"/>
      <c r="BJ226"/>
      <c r="BK226"/>
      <c r="BL226" t="s">
        <v>8</v>
      </c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 t="s">
        <v>8</v>
      </c>
      <c r="CD226"/>
      <c r="CE226"/>
      <c r="CF226" t="s">
        <v>8</v>
      </c>
      <c r="CG226"/>
      <c r="CH226"/>
      <c r="CI226" t="s">
        <v>8</v>
      </c>
      <c r="CJ226"/>
      <c r="CK226" t="s">
        <v>8</v>
      </c>
      <c r="CL226"/>
      <c r="CM226" t="s">
        <v>8</v>
      </c>
      <c r="CN226"/>
      <c r="CO226" t="s">
        <v>8</v>
      </c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 t="s">
        <v>8</v>
      </c>
      <c r="DD226"/>
      <c r="DE226"/>
      <c r="DF226"/>
      <c r="DG226"/>
      <c r="DH226"/>
      <c r="DI226"/>
      <c r="DJ226"/>
      <c r="DK226"/>
      <c r="DL226"/>
      <c r="DM226"/>
      <c r="DN226"/>
      <c r="DO226"/>
      <c r="DP226"/>
    </row>
    <row r="227" spans="1:120" s="4" customFormat="1">
      <c r="A227" s="6" t="str">
        <f>HYPERLINK(".\links\pep\TI-387-pep.txt","TI-387")</f>
        <v>TI-387</v>
      </c>
      <c r="B227" s="6">
        <v>387</v>
      </c>
      <c r="C227" s="6" t="s">
        <v>12</v>
      </c>
      <c r="D227" s="6">
        <v>15</v>
      </c>
      <c r="E227" s="6">
        <v>0</v>
      </c>
      <c r="F227" s="6" t="str">
        <f>HYPERLINK(".\links\cds\TI-387-cds.txt","TI-387")</f>
        <v>TI-387</v>
      </c>
      <c r="G227" s="6">
        <v>44</v>
      </c>
      <c r="H227" s="6"/>
      <c r="I227" s="6" t="s">
        <v>8</v>
      </c>
      <c r="J227" s="6" t="s">
        <v>8</v>
      </c>
      <c r="K227" s="6">
        <v>2</v>
      </c>
      <c r="L227" s="6">
        <v>0</v>
      </c>
      <c r="M227" s="6">
        <f t="shared" si="12"/>
        <v>2</v>
      </c>
      <c r="N227" s="6">
        <f t="shared" si="13"/>
        <v>2</v>
      </c>
      <c r="O227" s="6" t="s">
        <v>1170</v>
      </c>
      <c r="P227" s="6" t="s">
        <v>1171</v>
      </c>
      <c r="Q227" s="6"/>
      <c r="R227" s="6"/>
      <c r="S227" s="6"/>
      <c r="T227" s="6" t="s">
        <v>8</v>
      </c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 t="s">
        <v>8</v>
      </c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 t="s">
        <v>8</v>
      </c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 t="s">
        <v>8</v>
      </c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 t="s">
        <v>8</v>
      </c>
      <c r="CD227" s="6"/>
      <c r="CE227" s="6"/>
      <c r="CF227" s="6" t="s">
        <v>8</v>
      </c>
      <c r="CG227" s="6"/>
      <c r="CH227" s="6"/>
      <c r="CI227" s="6" t="s">
        <v>8</v>
      </c>
      <c r="CJ227" s="6"/>
      <c r="CK227" s="6" t="s">
        <v>8</v>
      </c>
      <c r="CL227" s="6"/>
      <c r="CM227" s="6" t="s">
        <v>8</v>
      </c>
      <c r="CN227" s="6"/>
      <c r="CO227" s="6" t="s">
        <v>8</v>
      </c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 t="s">
        <v>8</v>
      </c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</row>
    <row r="228" spans="1:120" s="4" customFormat="1">
      <c r="A228" t="str">
        <f>HYPERLINK(".\links\pep\TI-388-pep.txt","TI-388")</f>
        <v>TI-388</v>
      </c>
      <c r="B228">
        <v>388</v>
      </c>
      <c r="C228" t="s">
        <v>7</v>
      </c>
      <c r="D228">
        <v>92</v>
      </c>
      <c r="E228">
        <v>0</v>
      </c>
      <c r="F228" t="str">
        <f>HYPERLINK(".\links\cds\TI-388-cds.txt","TI-388")</f>
        <v>TI-388</v>
      </c>
      <c r="G228">
        <v>279</v>
      </c>
      <c r="H228"/>
      <c r="I228" t="s">
        <v>29</v>
      </c>
      <c r="J228" t="s">
        <v>6</v>
      </c>
      <c r="K228">
        <v>1</v>
      </c>
      <c r="L228">
        <v>0</v>
      </c>
      <c r="M228">
        <f t="shared" si="12"/>
        <v>1</v>
      </c>
      <c r="N228">
        <f t="shared" si="13"/>
        <v>1</v>
      </c>
      <c r="O228" t="s">
        <v>1228</v>
      </c>
      <c r="P228" t="s">
        <v>1169</v>
      </c>
      <c r="Q228" t="str">
        <f>HYPERLINK(".\links\NR-LIGHT\TI-388-NR-LIGHT.txt","NR-LIGHT")</f>
        <v>NR-LIGHT</v>
      </c>
      <c r="R228" s="3">
        <v>3.0000000000000001E-45</v>
      </c>
      <c r="S228">
        <v>100</v>
      </c>
      <c r="T228" t="str">
        <f>HYPERLINK(".\links\NR-LIGHT\TI-388-NR-LIGHT.txt","60S ribosomal protein L37")</f>
        <v>60S ribosomal protein L37</v>
      </c>
      <c r="U228" t="str">
        <f>HYPERLINK("http://www.ncbi.nlm.nih.gov/sutils/blink.cgi?pid=149689118","3E-045")</f>
        <v>3E-045</v>
      </c>
      <c r="V228" t="str">
        <f>HYPERLINK("http://www.ncbi.nlm.nih.gov/protein/149689118","gi|149689118")</f>
        <v>gi|149689118</v>
      </c>
      <c r="W228">
        <v>182</v>
      </c>
      <c r="X228">
        <v>91</v>
      </c>
      <c r="Y228">
        <v>92</v>
      </c>
      <c r="Z228">
        <v>98</v>
      </c>
      <c r="AA228">
        <v>100</v>
      </c>
      <c r="AB228">
        <v>1</v>
      </c>
      <c r="AC228">
        <v>0</v>
      </c>
      <c r="AD228">
        <v>1</v>
      </c>
      <c r="AE228">
        <v>1</v>
      </c>
      <c r="AF228">
        <v>1</v>
      </c>
      <c r="AG228"/>
      <c r="AH228" t="s">
        <v>13</v>
      </c>
      <c r="AI228" t="s">
        <v>51</v>
      </c>
      <c r="AJ228" t="s">
        <v>273</v>
      </c>
      <c r="AK228" t="str">
        <f>HYPERLINK(".\links\SWISSP\TI-388-SWISSP.txt","60S ribosomal protein L37a OS=Drosophila melanogaster GN=RpL37A PE=1 SV=3")</f>
        <v>60S ribosomal protein L37a OS=Drosophila melanogaster GN=RpL37A PE=1 SV=3</v>
      </c>
      <c r="AL228" t="str">
        <f>HYPERLINK("http://www.uniprot.org/uniprot/Q9VMU4","1E-037")</f>
        <v>1E-037</v>
      </c>
      <c r="AM228" t="s">
        <v>211</v>
      </c>
      <c r="AN228">
        <v>154</v>
      </c>
      <c r="AO228">
        <v>90</v>
      </c>
      <c r="AP228">
        <v>92</v>
      </c>
      <c r="AQ228">
        <v>84</v>
      </c>
      <c r="AR228">
        <v>99</v>
      </c>
      <c r="AS228">
        <v>14</v>
      </c>
      <c r="AT228">
        <v>0</v>
      </c>
      <c r="AU228">
        <v>1</v>
      </c>
      <c r="AV228">
        <v>1</v>
      </c>
      <c r="AW228">
        <v>1</v>
      </c>
      <c r="AX228" t="s">
        <v>52</v>
      </c>
      <c r="AY228" t="str">
        <f>HYPERLINK(".\links\PREV-RHOD-PEP\TI-388-PREV-RHOD-PEP.txt","Contig17488_2")</f>
        <v>Contig17488_2</v>
      </c>
      <c r="AZ228" s="3">
        <v>6.9999999999999997E-34</v>
      </c>
      <c r="BA228" t="s">
        <v>1125</v>
      </c>
      <c r="BB228">
        <v>138</v>
      </c>
      <c r="BC228">
        <v>67</v>
      </c>
      <c r="BD228">
        <v>68</v>
      </c>
      <c r="BE228">
        <v>100</v>
      </c>
      <c r="BF228">
        <v>100</v>
      </c>
      <c r="BG228">
        <v>0</v>
      </c>
      <c r="BH228">
        <v>0</v>
      </c>
      <c r="BI228">
        <v>1</v>
      </c>
      <c r="BJ228">
        <v>25</v>
      </c>
      <c r="BK228">
        <v>1</v>
      </c>
      <c r="BL228" t="s">
        <v>857</v>
      </c>
      <c r="BM228">
        <f>HYPERLINK(".\links\GO\TI-388-GO.txt",2E-38)</f>
        <v>1.9999999999999999E-38</v>
      </c>
      <c r="BN228" t="s">
        <v>329</v>
      </c>
      <c r="BO228" t="s">
        <v>330</v>
      </c>
      <c r="BP228" t="s">
        <v>331</v>
      </c>
      <c r="BQ228" t="s">
        <v>332</v>
      </c>
      <c r="BR228" s="3">
        <v>1.9999999999999999E-38</v>
      </c>
      <c r="BS228" t="s">
        <v>333</v>
      </c>
      <c r="BT228" t="s">
        <v>323</v>
      </c>
      <c r="BU228" t="s">
        <v>334</v>
      </c>
      <c r="BV228" t="s">
        <v>335</v>
      </c>
      <c r="BW228" s="3">
        <v>1.9999999999999999E-38</v>
      </c>
      <c r="BX228" t="s">
        <v>336</v>
      </c>
      <c r="BY228" t="s">
        <v>330</v>
      </c>
      <c r="BZ228" t="s">
        <v>331</v>
      </c>
      <c r="CA228" t="s">
        <v>337</v>
      </c>
      <c r="CB228" s="3">
        <v>1.9999999999999999E-38</v>
      </c>
      <c r="CC228" t="s">
        <v>8</v>
      </c>
      <c r="CD228"/>
      <c r="CE228"/>
      <c r="CF228" t="s">
        <v>8</v>
      </c>
      <c r="CG228"/>
      <c r="CH228"/>
      <c r="CI228" t="s">
        <v>8</v>
      </c>
      <c r="CJ228"/>
      <c r="CK228" t="s">
        <v>8</v>
      </c>
      <c r="CL228"/>
      <c r="CM228" t="s">
        <v>8</v>
      </c>
      <c r="CN228"/>
      <c r="CO228" t="s">
        <v>8</v>
      </c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 t="s">
        <v>8</v>
      </c>
      <c r="DD228"/>
      <c r="DE228"/>
      <c r="DF228"/>
      <c r="DG228"/>
      <c r="DH228"/>
      <c r="DI228"/>
      <c r="DJ228"/>
      <c r="DK228"/>
      <c r="DL228"/>
      <c r="DM228"/>
      <c r="DN228"/>
      <c r="DO228"/>
      <c r="DP228"/>
    </row>
    <row r="229" spans="1:120" s="4" customFormat="1">
      <c r="A229" s="6" t="str">
        <f>HYPERLINK(".\links\pep\TI-389-pep.txt","TI-389")</f>
        <v>TI-389</v>
      </c>
      <c r="B229" s="6">
        <v>389</v>
      </c>
      <c r="C229" s="6" t="s">
        <v>23</v>
      </c>
      <c r="D229" s="6">
        <v>12</v>
      </c>
      <c r="E229" s="6">
        <v>0</v>
      </c>
      <c r="F229" s="6" t="str">
        <f>HYPERLINK(".\links\cds\TI-389-cds.txt","TI-389")</f>
        <v>TI-389</v>
      </c>
      <c r="G229" s="6">
        <v>39</v>
      </c>
      <c r="H229" s="6"/>
      <c r="I229" s="6" t="s">
        <v>8</v>
      </c>
      <c r="J229" s="6" t="s">
        <v>6</v>
      </c>
      <c r="K229" s="6">
        <v>1</v>
      </c>
      <c r="L229" s="6">
        <v>0</v>
      </c>
      <c r="M229" s="6">
        <f t="shared" si="12"/>
        <v>1</v>
      </c>
      <c r="N229" s="6">
        <f t="shared" si="13"/>
        <v>1</v>
      </c>
      <c r="O229" s="6" t="s">
        <v>1170</v>
      </c>
      <c r="P229" s="6" t="s">
        <v>1171</v>
      </c>
      <c r="Q229" s="6"/>
      <c r="R229" s="6"/>
      <c r="S229" s="6"/>
      <c r="T229" s="6" t="s">
        <v>8</v>
      </c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 t="s">
        <v>8</v>
      </c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 t="s">
        <v>8</v>
      </c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 t="s">
        <v>8</v>
      </c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 t="s">
        <v>8</v>
      </c>
      <c r="CD229" s="6"/>
      <c r="CE229" s="6"/>
      <c r="CF229" s="6" t="s">
        <v>8</v>
      </c>
      <c r="CG229" s="6"/>
      <c r="CH229" s="6"/>
      <c r="CI229" s="6" t="s">
        <v>8</v>
      </c>
      <c r="CJ229" s="6"/>
      <c r="CK229" s="6" t="s">
        <v>8</v>
      </c>
      <c r="CL229" s="6"/>
      <c r="CM229" s="6" t="s">
        <v>8</v>
      </c>
      <c r="CN229" s="6"/>
      <c r="CO229" s="6" t="s">
        <v>8</v>
      </c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 t="s">
        <v>8</v>
      </c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</row>
    <row r="230" spans="1:120" s="4" customFormat="1">
      <c r="A230" s="6" t="str">
        <f>HYPERLINK(".\links\pep\TI-391-pep.txt","TI-391")</f>
        <v>TI-391</v>
      </c>
      <c r="B230" s="6">
        <v>391</v>
      </c>
      <c r="C230" s="6" t="s">
        <v>16</v>
      </c>
      <c r="D230" s="6">
        <v>115</v>
      </c>
      <c r="E230" s="6">
        <v>0</v>
      </c>
      <c r="F230" s="6" t="str">
        <f>HYPERLINK(".\links\cds\TI-391-cds.txt","TI-391")</f>
        <v>TI-391</v>
      </c>
      <c r="G230" s="6">
        <v>343</v>
      </c>
      <c r="H230" s="6"/>
      <c r="I230" s="6" t="s">
        <v>8</v>
      </c>
      <c r="J230" s="6" t="s">
        <v>8</v>
      </c>
      <c r="K230" s="6">
        <v>0</v>
      </c>
      <c r="L230" s="6">
        <v>1</v>
      </c>
      <c r="M230" s="6">
        <f t="shared" si="12"/>
        <v>-1</v>
      </c>
      <c r="N230" s="6">
        <f t="shared" si="13"/>
        <v>1</v>
      </c>
      <c r="O230" s="6" t="s">
        <v>1170</v>
      </c>
      <c r="P230" s="6" t="s">
        <v>1171</v>
      </c>
      <c r="Q230" s="6"/>
      <c r="R230" s="6"/>
      <c r="S230" s="6"/>
      <c r="T230" s="6" t="str">
        <f>HYPERLINK(".\links\NR-LIGHT\TI-391-NR-LIGHT.txt","hypothetical protein")</f>
        <v>hypothetical protein</v>
      </c>
      <c r="U230" s="6" t="str">
        <f>HYPERLINK("http://www.ncbi.nlm.nih.gov/sutils/blink.cgi?pid=256081126","3.1")</f>
        <v>3.1</v>
      </c>
      <c r="V230" s="6" t="str">
        <f>HYPERLINK("http://www.ncbi.nlm.nih.gov/protein/256081126","gi|256081126")</f>
        <v>gi|256081126</v>
      </c>
      <c r="W230" s="6">
        <v>32.700000000000003</v>
      </c>
      <c r="X230" s="6">
        <v>49</v>
      </c>
      <c r="Y230" s="6">
        <v>750</v>
      </c>
      <c r="Z230" s="6">
        <v>32</v>
      </c>
      <c r="AA230" s="6">
        <v>7</v>
      </c>
      <c r="AB230" s="6">
        <v>35</v>
      </c>
      <c r="AC230" s="6">
        <v>2</v>
      </c>
      <c r="AD230" s="6">
        <v>234</v>
      </c>
      <c r="AE230" s="6">
        <v>56</v>
      </c>
      <c r="AF230" s="6">
        <v>1</v>
      </c>
      <c r="AG230" s="6"/>
      <c r="AH230" s="6" t="s">
        <v>13</v>
      </c>
      <c r="AI230" s="6" t="s">
        <v>51</v>
      </c>
      <c r="AJ230" s="6" t="s">
        <v>265</v>
      </c>
      <c r="AK230" s="6" t="s">
        <v>8</v>
      </c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 t="str">
        <f>HYPERLINK(".\links\PREV-RHOD-PEP\TI-391-PREV-RHOD-PEP.txt","Contig17543_20")</f>
        <v>Contig17543_20</v>
      </c>
      <c r="AZ230" s="8">
        <v>6.0000000000000005E-44</v>
      </c>
      <c r="BA230" s="6" t="s">
        <v>1126</v>
      </c>
      <c r="BB230" s="6">
        <v>171</v>
      </c>
      <c r="BC230" s="6">
        <v>103</v>
      </c>
      <c r="BD230" s="6">
        <v>293</v>
      </c>
      <c r="BE230" s="6">
        <v>81</v>
      </c>
      <c r="BF230" s="6">
        <v>35</v>
      </c>
      <c r="BG230" s="6">
        <v>20</v>
      </c>
      <c r="BH230" s="6">
        <v>4</v>
      </c>
      <c r="BI230" s="6">
        <v>4</v>
      </c>
      <c r="BJ230" s="6">
        <v>8</v>
      </c>
      <c r="BK230" s="6">
        <v>1</v>
      </c>
      <c r="BL230" s="6" t="s">
        <v>8</v>
      </c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 t="s">
        <v>8</v>
      </c>
      <c r="CD230" s="6"/>
      <c r="CE230" s="6"/>
      <c r="CF230" s="6" t="s">
        <v>8</v>
      </c>
      <c r="CG230" s="6"/>
      <c r="CH230" s="6"/>
      <c r="CI230" s="6" t="s">
        <v>8</v>
      </c>
      <c r="CJ230" s="6"/>
      <c r="CK230" s="6" t="s">
        <v>8</v>
      </c>
      <c r="CL230" s="6"/>
      <c r="CM230" s="6" t="s">
        <v>8</v>
      </c>
      <c r="CN230" s="6"/>
      <c r="CO230" s="6" t="s">
        <v>8</v>
      </c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 t="s">
        <v>8</v>
      </c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</row>
    <row r="231" spans="1:120" s="4" customFormat="1">
      <c r="A231" s="6" t="str">
        <f>HYPERLINK(".\links\pep\TI-396-pep.txt","TI-396")</f>
        <v>TI-396</v>
      </c>
      <c r="B231" s="6">
        <v>396</v>
      </c>
      <c r="C231" s="6" t="s">
        <v>14</v>
      </c>
      <c r="D231" s="6">
        <v>125</v>
      </c>
      <c r="E231" s="6">
        <v>0</v>
      </c>
      <c r="F231" s="6" t="str">
        <f>HYPERLINK(".\links\cds\TI-396-cds.txt","TI-396")</f>
        <v>TI-396</v>
      </c>
      <c r="G231" s="6">
        <v>378</v>
      </c>
      <c r="H231" s="6"/>
      <c r="I231" s="6" t="s">
        <v>8</v>
      </c>
      <c r="J231" s="6" t="s">
        <v>6</v>
      </c>
      <c r="K231" s="6">
        <v>1</v>
      </c>
      <c r="L231" s="6">
        <v>0</v>
      </c>
      <c r="M231" s="6">
        <f t="shared" si="12"/>
        <v>1</v>
      </c>
      <c r="N231" s="6">
        <f t="shared" si="13"/>
        <v>1</v>
      </c>
      <c r="O231" s="6" t="s">
        <v>1170</v>
      </c>
      <c r="P231" s="6" t="s">
        <v>1171</v>
      </c>
      <c r="Q231" s="6"/>
      <c r="R231" s="6"/>
      <c r="S231" s="6"/>
      <c r="T231" s="6" t="str">
        <f>HYPERLINK(".\links\NR-LIGHT\TI-396-NR-LIGHT.txt","kininogen 1, isoform CRA_b")</f>
        <v>kininogen 1, isoform CRA_b</v>
      </c>
      <c r="U231" s="6" t="str">
        <f>HYPERLINK("http://www.ncbi.nlm.nih.gov/sutils/blink.cgi?pid=119598586","5E-004")</f>
        <v>5E-004</v>
      </c>
      <c r="V231" s="6" t="str">
        <f>HYPERLINK("http://www.ncbi.nlm.nih.gov/protein/119598586","gi|119598586")</f>
        <v>gi|119598586</v>
      </c>
      <c r="W231" s="6">
        <v>45.4</v>
      </c>
      <c r="X231" s="6">
        <v>68</v>
      </c>
      <c r="Y231" s="6">
        <v>644</v>
      </c>
      <c r="Z231" s="6">
        <v>33</v>
      </c>
      <c r="AA231" s="6">
        <v>11</v>
      </c>
      <c r="AB231" s="6">
        <v>46</v>
      </c>
      <c r="AC231" s="6">
        <v>6</v>
      </c>
      <c r="AD231" s="6">
        <v>262</v>
      </c>
      <c r="AE231" s="6">
        <v>37</v>
      </c>
      <c r="AF231" s="6">
        <v>1</v>
      </c>
      <c r="AG231" s="6"/>
      <c r="AH231" s="6" t="s">
        <v>13</v>
      </c>
      <c r="AI231" s="6" t="s">
        <v>51</v>
      </c>
      <c r="AJ231" s="6" t="s">
        <v>68</v>
      </c>
      <c r="AK231" s="6" t="str">
        <f>HYPERLINK(".\links\SWISSP\TI-396-SWISSP.txt","Kininogen-1 OS=Homo sapiens GN=KNG1 PE=1 SV=2")</f>
        <v>Kininogen-1 OS=Homo sapiens GN=KNG1 PE=1 SV=2</v>
      </c>
      <c r="AL231" s="6" t="str">
        <f>HYPERLINK("http://www.uniprot.org/uniprot/P01042","1E-004")</f>
        <v>1E-004</v>
      </c>
      <c r="AM231" s="6" t="s">
        <v>212</v>
      </c>
      <c r="AN231" s="6">
        <v>45.4</v>
      </c>
      <c r="AO231" s="6">
        <v>68</v>
      </c>
      <c r="AP231" s="6">
        <v>644</v>
      </c>
      <c r="AQ231" s="6">
        <v>33</v>
      </c>
      <c r="AR231" s="6">
        <v>11</v>
      </c>
      <c r="AS231" s="6">
        <v>46</v>
      </c>
      <c r="AT231" s="6">
        <v>6</v>
      </c>
      <c r="AU231" s="6">
        <v>262</v>
      </c>
      <c r="AV231" s="6">
        <v>37</v>
      </c>
      <c r="AW231" s="6">
        <v>1</v>
      </c>
      <c r="AX231" s="6" t="s">
        <v>68</v>
      </c>
      <c r="AY231" s="6" t="str">
        <f>HYPERLINK(".\links\PREV-RHOD-PEP\TI-396-PREV-RHOD-PEP.txt","Contig18034_95")</f>
        <v>Contig18034_95</v>
      </c>
      <c r="AZ231" s="8">
        <v>7.0000000000000003E-27</v>
      </c>
      <c r="BA231" s="6" t="s">
        <v>1127</v>
      </c>
      <c r="BB231" s="6">
        <v>115</v>
      </c>
      <c r="BC231" s="6">
        <v>95</v>
      </c>
      <c r="BD231" s="6">
        <v>470</v>
      </c>
      <c r="BE231" s="6">
        <v>58</v>
      </c>
      <c r="BF231" s="6">
        <v>20</v>
      </c>
      <c r="BG231" s="6">
        <v>40</v>
      </c>
      <c r="BH231" s="6">
        <v>1</v>
      </c>
      <c r="BI231" s="6">
        <v>1</v>
      </c>
      <c r="BJ231" s="6">
        <v>12</v>
      </c>
      <c r="BK231" s="6">
        <v>1</v>
      </c>
      <c r="BL231" s="6" t="s">
        <v>858</v>
      </c>
      <c r="BM231" s="6">
        <f>HYPERLINK(".\links\GO\TI-396-GO.txt",0.003)</f>
        <v>3.0000000000000001E-3</v>
      </c>
      <c r="BN231" s="6" t="s">
        <v>859</v>
      </c>
      <c r="BO231" s="6" t="s">
        <v>340</v>
      </c>
      <c r="BP231" s="6" t="s">
        <v>341</v>
      </c>
      <c r="BQ231" s="6" t="s">
        <v>860</v>
      </c>
      <c r="BR231" s="6">
        <v>3.0000000000000001E-3</v>
      </c>
      <c r="BS231" s="6" t="s">
        <v>861</v>
      </c>
      <c r="BT231" s="6" t="s">
        <v>501</v>
      </c>
      <c r="BU231" s="6" t="s">
        <v>752</v>
      </c>
      <c r="BV231" s="6" t="s">
        <v>862</v>
      </c>
      <c r="BW231" s="6">
        <v>3.0000000000000001E-3</v>
      </c>
      <c r="BX231" s="6" t="s">
        <v>863</v>
      </c>
      <c r="BY231" s="6" t="s">
        <v>340</v>
      </c>
      <c r="BZ231" s="6" t="s">
        <v>341</v>
      </c>
      <c r="CA231" s="6" t="s">
        <v>864</v>
      </c>
      <c r="CB231" s="6">
        <v>3.0000000000000001E-3</v>
      </c>
      <c r="CC231" s="6" t="s">
        <v>8</v>
      </c>
      <c r="CD231" s="6"/>
      <c r="CE231" s="6"/>
      <c r="CF231" s="6" t="s">
        <v>8</v>
      </c>
      <c r="CG231" s="6"/>
      <c r="CH231" s="6"/>
      <c r="CI231" s="6" t="s">
        <v>8</v>
      </c>
      <c r="CJ231" s="6"/>
      <c r="CK231" s="6" t="s">
        <v>8</v>
      </c>
      <c r="CL231" s="6"/>
      <c r="CM231" s="6" t="s">
        <v>8</v>
      </c>
      <c r="CN231" s="6"/>
      <c r="CO231" s="6" t="s">
        <v>8</v>
      </c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 t="s">
        <v>8</v>
      </c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</row>
    <row r="232" spans="1:120" s="4" customFormat="1">
      <c r="A232" s="6" t="str">
        <f>HYPERLINK(".\links\pep\TI-398-pep.txt","TI-398")</f>
        <v>TI-398</v>
      </c>
      <c r="B232" s="6">
        <v>398</v>
      </c>
      <c r="C232" s="6" t="s">
        <v>16</v>
      </c>
      <c r="D232" s="6">
        <v>25</v>
      </c>
      <c r="E232" s="6">
        <v>0</v>
      </c>
      <c r="F232" s="6" t="str">
        <f>HYPERLINK(".\links\cds\TI-398-cds.txt","TI-398")</f>
        <v>TI-398</v>
      </c>
      <c r="G232" s="6">
        <v>78</v>
      </c>
      <c r="H232" s="6"/>
      <c r="I232" s="6" t="s">
        <v>8</v>
      </c>
      <c r="J232" s="6" t="s">
        <v>6</v>
      </c>
      <c r="K232" s="6">
        <v>1</v>
      </c>
      <c r="L232" s="6">
        <v>1</v>
      </c>
      <c r="M232" s="6">
        <f t="shared" si="12"/>
        <v>0</v>
      </c>
      <c r="N232" s="6">
        <f t="shared" si="13"/>
        <v>0</v>
      </c>
      <c r="O232" s="6" t="s">
        <v>1170</v>
      </c>
      <c r="P232" s="6" t="s">
        <v>1171</v>
      </c>
      <c r="Q232" s="6"/>
      <c r="R232" s="6"/>
      <c r="S232" s="6"/>
      <c r="T232" s="6" t="s">
        <v>8</v>
      </c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 t="s">
        <v>8</v>
      </c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 t="s">
        <v>8</v>
      </c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 t="s">
        <v>8</v>
      </c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 t="s">
        <v>8</v>
      </c>
      <c r="CD232" s="6"/>
      <c r="CE232" s="6"/>
      <c r="CF232" s="6" t="s">
        <v>8</v>
      </c>
      <c r="CG232" s="6"/>
      <c r="CH232" s="6"/>
      <c r="CI232" s="6" t="s">
        <v>8</v>
      </c>
      <c r="CJ232" s="6"/>
      <c r="CK232" s="6" t="s">
        <v>8</v>
      </c>
      <c r="CL232" s="6"/>
      <c r="CM232" s="6" t="s">
        <v>8</v>
      </c>
      <c r="CN232" s="6"/>
      <c r="CO232" s="6" t="s">
        <v>8</v>
      </c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 t="s">
        <v>8</v>
      </c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</row>
    <row r="233" spans="1:120" s="4" customFormat="1">
      <c r="A233" s="6" t="str">
        <f>HYPERLINK(".\links\pep\TI-401-pep.txt","TI-401")</f>
        <v>TI-401</v>
      </c>
      <c r="B233" s="6">
        <v>401</v>
      </c>
      <c r="C233" s="6" t="s">
        <v>13</v>
      </c>
      <c r="D233" s="6">
        <v>98</v>
      </c>
      <c r="E233" s="7">
        <v>2.040816</v>
      </c>
      <c r="F233" s="6" t="str">
        <f>HYPERLINK(".\links\cds\TI-401-cds.txt","TI-401")</f>
        <v>TI-401</v>
      </c>
      <c r="G233" s="6">
        <v>292</v>
      </c>
      <c r="H233" s="6"/>
      <c r="I233" s="6" t="s">
        <v>8</v>
      </c>
      <c r="J233" s="6" t="s">
        <v>8</v>
      </c>
      <c r="K233" s="6">
        <v>1</v>
      </c>
      <c r="L233" s="6">
        <v>0</v>
      </c>
      <c r="M233" s="6">
        <f t="shared" si="12"/>
        <v>1</v>
      </c>
      <c r="N233" s="6">
        <f t="shared" si="13"/>
        <v>1</v>
      </c>
      <c r="O233" s="6" t="s">
        <v>1170</v>
      </c>
      <c r="P233" s="6" t="s">
        <v>1171</v>
      </c>
      <c r="Q233" s="6"/>
      <c r="R233" s="6"/>
      <c r="S233" s="6"/>
      <c r="T233" s="6" t="str">
        <f>HYPERLINK(".\links\NR-LIGHT\TI-401-NR-LIGHT.txt","hypothetical protein TcasGA2_TC012685")</f>
        <v>hypothetical protein TcasGA2_TC012685</v>
      </c>
      <c r="U233" s="6" t="str">
        <f>HYPERLINK("http://www.ncbi.nlm.nih.gov/sutils/blink.cgi?pid=270013992","0.67")</f>
        <v>0.67</v>
      </c>
      <c r="V233" s="6" t="str">
        <f>HYPERLINK("http://www.ncbi.nlm.nih.gov/protein/270013992","gi|270013992")</f>
        <v>gi|270013992</v>
      </c>
      <c r="W233" s="6">
        <v>35</v>
      </c>
      <c r="X233" s="6">
        <v>17</v>
      </c>
      <c r="Y233" s="6">
        <v>277</v>
      </c>
      <c r="Z233" s="6">
        <v>83</v>
      </c>
      <c r="AA233" s="6">
        <v>6</v>
      </c>
      <c r="AB233" s="6">
        <v>3</v>
      </c>
      <c r="AC233" s="6">
        <v>0</v>
      </c>
      <c r="AD233" s="6">
        <v>84</v>
      </c>
      <c r="AE233" s="6">
        <v>16</v>
      </c>
      <c r="AF233" s="6">
        <v>1</v>
      </c>
      <c r="AG233" s="6"/>
      <c r="AH233" s="6" t="s">
        <v>13</v>
      </c>
      <c r="AI233" s="6" t="s">
        <v>51</v>
      </c>
      <c r="AJ233" s="6" t="s">
        <v>266</v>
      </c>
      <c r="AK233" s="6" t="s">
        <v>8</v>
      </c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 t="str">
        <f>HYPERLINK(".\links\PREV-RHOD-PEP\TI-401-PREV-RHOD-PEP.txt","Contig18031_39")</f>
        <v>Contig18031_39</v>
      </c>
      <c r="AZ233" s="8">
        <v>1.0000000000000001E-9</v>
      </c>
      <c r="BA233" s="6" t="s">
        <v>1015</v>
      </c>
      <c r="BB233" s="6">
        <v>58.2</v>
      </c>
      <c r="BC233" s="6">
        <v>51</v>
      </c>
      <c r="BD233" s="6">
        <v>212</v>
      </c>
      <c r="BE233" s="6">
        <v>61</v>
      </c>
      <c r="BF233" s="6">
        <v>25</v>
      </c>
      <c r="BG233" s="6">
        <v>20</v>
      </c>
      <c r="BH233" s="6">
        <v>1</v>
      </c>
      <c r="BI233" s="6">
        <v>53</v>
      </c>
      <c r="BJ233" s="6">
        <v>16</v>
      </c>
      <c r="BK233" s="6">
        <v>1</v>
      </c>
      <c r="BL233" s="6" t="s">
        <v>8</v>
      </c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 t="s">
        <v>8</v>
      </c>
      <c r="CD233" s="6"/>
      <c r="CE233" s="6"/>
      <c r="CF233" s="6" t="s">
        <v>8</v>
      </c>
      <c r="CG233" s="6"/>
      <c r="CH233" s="6"/>
      <c r="CI233" s="6" t="s">
        <v>8</v>
      </c>
      <c r="CJ233" s="6"/>
      <c r="CK233" s="6" t="s">
        <v>8</v>
      </c>
      <c r="CL233" s="6"/>
      <c r="CM233" s="6" t="s">
        <v>8</v>
      </c>
      <c r="CN233" s="6"/>
      <c r="CO233" s="6" t="s">
        <v>8</v>
      </c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 t="s">
        <v>8</v>
      </c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</row>
    <row r="234" spans="1:120" s="4" customFormat="1">
      <c r="A234" s="6" t="str">
        <f>HYPERLINK(".\links\pep\TI-403-pep.txt","TI-403")</f>
        <v>TI-403</v>
      </c>
      <c r="B234" s="6">
        <v>403</v>
      </c>
      <c r="C234" s="6" t="s">
        <v>7</v>
      </c>
      <c r="D234" s="6">
        <v>81</v>
      </c>
      <c r="E234" s="6">
        <v>0</v>
      </c>
      <c r="F234" s="6" t="str">
        <f>HYPERLINK(".\links\cds\TI-403-cds.txt","TI-403")</f>
        <v>TI-403</v>
      </c>
      <c r="G234" s="6">
        <v>246</v>
      </c>
      <c r="H234" s="6"/>
      <c r="I234" s="6" t="s">
        <v>29</v>
      </c>
      <c r="J234" s="6" t="s">
        <v>6</v>
      </c>
      <c r="K234" s="6">
        <v>0</v>
      </c>
      <c r="L234" s="6">
        <v>2</v>
      </c>
      <c r="M234" s="6">
        <f t="shared" si="12"/>
        <v>-2</v>
      </c>
      <c r="N234" s="6">
        <f t="shared" si="13"/>
        <v>2</v>
      </c>
      <c r="O234" s="6" t="s">
        <v>1170</v>
      </c>
      <c r="P234" s="6" t="s">
        <v>1171</v>
      </c>
      <c r="Q234" s="6"/>
      <c r="R234" s="6"/>
      <c r="S234" s="6"/>
      <c r="T234" s="6" t="s">
        <v>8</v>
      </c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 t="s">
        <v>8</v>
      </c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 t="s">
        <v>8</v>
      </c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 t="s">
        <v>8</v>
      </c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 t="s">
        <v>8</v>
      </c>
      <c r="CD234" s="6"/>
      <c r="CE234" s="6"/>
      <c r="CF234" s="6" t="s">
        <v>8</v>
      </c>
      <c r="CG234" s="6"/>
      <c r="CH234" s="6"/>
      <c r="CI234" s="6" t="s">
        <v>8</v>
      </c>
      <c r="CJ234" s="6"/>
      <c r="CK234" s="6" t="s">
        <v>8</v>
      </c>
      <c r="CL234" s="6"/>
      <c r="CM234" s="6" t="s">
        <v>8</v>
      </c>
      <c r="CN234" s="6"/>
      <c r="CO234" s="6" t="s">
        <v>8</v>
      </c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 t="s">
        <v>8</v>
      </c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</row>
    <row r="235" spans="1:120" s="4" customFormat="1">
      <c r="A235" t="str">
        <f>HYPERLINK(".\links\pep\TI-404-pep.txt","TI-404")</f>
        <v>TI-404</v>
      </c>
      <c r="B235">
        <v>404</v>
      </c>
      <c r="C235" t="s">
        <v>7</v>
      </c>
      <c r="D235">
        <v>212</v>
      </c>
      <c r="E235" s="2">
        <v>2.3584900000000002</v>
      </c>
      <c r="F235" t="str">
        <f>HYPERLINK(".\links\cds\TI-404-cds.txt","TI-404")</f>
        <v>TI-404</v>
      </c>
      <c r="G235">
        <v>635</v>
      </c>
      <c r="H235"/>
      <c r="I235" t="s">
        <v>29</v>
      </c>
      <c r="J235" t="s">
        <v>8</v>
      </c>
      <c r="K235">
        <v>0</v>
      </c>
      <c r="L235">
        <v>1</v>
      </c>
      <c r="M235">
        <f t="shared" si="12"/>
        <v>-1</v>
      </c>
      <c r="N235">
        <f t="shared" si="13"/>
        <v>1</v>
      </c>
      <c r="O235" t="s">
        <v>1174</v>
      </c>
      <c r="P235" t="s">
        <v>1175</v>
      </c>
      <c r="Q235" t="str">
        <f>HYPERLINK(".\links\NR-LIGHT\TI-404-NR-LIGHT.txt","NR-LIGHT")</f>
        <v>NR-LIGHT</v>
      </c>
      <c r="R235">
        <v>0</v>
      </c>
      <c r="S235">
        <v>54.3</v>
      </c>
      <c r="T235" t="str">
        <f>HYPERLINK(".\links\NR-LIGHT\TI-404-NR-LIGHT.txt","cathepsin D")</f>
        <v>cathepsin D</v>
      </c>
      <c r="U235" t="str">
        <f>HYPERLINK("http://www.ncbi.nlm.nih.gov/sutils/blink.cgi?pid=301030231","1E-114")</f>
        <v>1E-114</v>
      </c>
      <c r="V235" t="str">
        <f>HYPERLINK("http://www.ncbi.nlm.nih.gov/protein/301030231","gi|301030231")</f>
        <v>gi|301030231</v>
      </c>
      <c r="W235">
        <v>414</v>
      </c>
      <c r="X235">
        <v>211</v>
      </c>
      <c r="Y235">
        <v>390</v>
      </c>
      <c r="Z235">
        <v>93</v>
      </c>
      <c r="AA235">
        <v>54</v>
      </c>
      <c r="AB235">
        <v>13</v>
      </c>
      <c r="AC235">
        <v>0</v>
      </c>
      <c r="AD235">
        <v>1</v>
      </c>
      <c r="AE235">
        <v>1</v>
      </c>
      <c r="AF235">
        <v>1</v>
      </c>
      <c r="AG235"/>
      <c r="AH235" t="s">
        <v>13</v>
      </c>
      <c r="AI235" t="s">
        <v>51</v>
      </c>
      <c r="AJ235" t="s">
        <v>273</v>
      </c>
      <c r="AK235" t="str">
        <f>HYPERLINK(".\links\SWISSP\TI-404-SWISSP.txt","Probable vacuolar protease A OS=Trichophyton verrucosum (strain HKI 0517)")</f>
        <v>Probable vacuolar protease A OS=Trichophyton verrucosum (strain HKI 0517)</v>
      </c>
      <c r="AL235" t="str">
        <f>HYPERLINK("http://www.uniprot.org/uniprot/D4DEN7","2E-042")</f>
        <v>2E-042</v>
      </c>
      <c r="AM235" t="s">
        <v>94</v>
      </c>
      <c r="AN235">
        <v>172</v>
      </c>
      <c r="AO235">
        <v>156</v>
      </c>
      <c r="AP235">
        <v>400</v>
      </c>
      <c r="AQ235">
        <v>50</v>
      </c>
      <c r="AR235">
        <v>39</v>
      </c>
      <c r="AS235">
        <v>77</v>
      </c>
      <c r="AT235">
        <v>1</v>
      </c>
      <c r="AU235">
        <v>72</v>
      </c>
      <c r="AV235">
        <v>57</v>
      </c>
      <c r="AW235">
        <v>1</v>
      </c>
      <c r="AX235" t="s">
        <v>95</v>
      </c>
      <c r="AY235" t="str">
        <f>HYPERLINK(".\links\PREV-RHOD-PEP\TI-404-PREV-RHOD-PEP.txt","Contig17955_3")</f>
        <v>Contig17955_3</v>
      </c>
      <c r="AZ235" s="3">
        <v>2.9999999999999999E-78</v>
      </c>
      <c r="BA235" t="s">
        <v>1010</v>
      </c>
      <c r="BB235">
        <v>287</v>
      </c>
      <c r="BC235">
        <v>189</v>
      </c>
      <c r="BD235">
        <v>371</v>
      </c>
      <c r="BE235">
        <v>70</v>
      </c>
      <c r="BF235">
        <v>51</v>
      </c>
      <c r="BG235">
        <v>56</v>
      </c>
      <c r="BH235">
        <v>0</v>
      </c>
      <c r="BI235">
        <v>5</v>
      </c>
      <c r="BJ235">
        <v>23</v>
      </c>
      <c r="BK235">
        <v>1</v>
      </c>
      <c r="BL235" t="s">
        <v>454</v>
      </c>
      <c r="BM235">
        <f>HYPERLINK(".\links\GO\TI-404-GO.txt",2E-42)</f>
        <v>2.0000000000000001E-42</v>
      </c>
      <c r="BN235" t="s">
        <v>455</v>
      </c>
      <c r="BO235" t="s">
        <v>345</v>
      </c>
      <c r="BP235" t="s">
        <v>349</v>
      </c>
      <c r="BQ235" t="s">
        <v>456</v>
      </c>
      <c r="BR235" s="3">
        <v>4.0000000000000002E-42</v>
      </c>
      <c r="BS235" t="s">
        <v>457</v>
      </c>
      <c r="BT235" t="s">
        <v>323</v>
      </c>
      <c r="BU235" t="s">
        <v>334</v>
      </c>
      <c r="BV235" t="s">
        <v>458</v>
      </c>
      <c r="BW235" s="3">
        <v>4.0000000000000002E-42</v>
      </c>
      <c r="BX235" t="s">
        <v>459</v>
      </c>
      <c r="BY235" t="s">
        <v>345</v>
      </c>
      <c r="BZ235" t="s">
        <v>349</v>
      </c>
      <c r="CA235" t="s">
        <v>460</v>
      </c>
      <c r="CB235" s="3">
        <v>4.0000000000000002E-42</v>
      </c>
      <c r="CC235" t="s">
        <v>8</v>
      </c>
      <c r="CD235"/>
      <c r="CE235"/>
      <c r="CF235" t="s">
        <v>8</v>
      </c>
      <c r="CG235"/>
      <c r="CH235"/>
      <c r="CI235" t="s">
        <v>8</v>
      </c>
      <c r="CJ235"/>
      <c r="CK235" t="s">
        <v>8</v>
      </c>
      <c r="CL235"/>
      <c r="CM235" t="s">
        <v>8</v>
      </c>
      <c r="CN235"/>
      <c r="CO235" t="s">
        <v>8</v>
      </c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 t="s">
        <v>8</v>
      </c>
      <c r="DD235"/>
      <c r="DE235"/>
      <c r="DF235"/>
      <c r="DG235"/>
      <c r="DH235"/>
      <c r="DI235"/>
      <c r="DJ235"/>
      <c r="DK235"/>
      <c r="DL235"/>
      <c r="DM235"/>
      <c r="DN235"/>
      <c r="DO235"/>
      <c r="DP235"/>
    </row>
    <row r="236" spans="1:120" s="4" customFormat="1">
      <c r="A236" t="str">
        <f>HYPERLINK(".\links\pep\TI-405-pep.txt","TI-405")</f>
        <v>TI-405</v>
      </c>
      <c r="B236">
        <v>405</v>
      </c>
      <c r="C236" t="s">
        <v>11</v>
      </c>
      <c r="D236">
        <v>163</v>
      </c>
      <c r="E236">
        <v>0</v>
      </c>
      <c r="F236" t="str">
        <f>HYPERLINK(".\links\cds\TI-405-cds.txt","TI-405")</f>
        <v>TI-405</v>
      </c>
      <c r="G236">
        <v>492</v>
      </c>
      <c r="H236"/>
      <c r="I236" t="s">
        <v>8</v>
      </c>
      <c r="J236" t="s">
        <v>6</v>
      </c>
      <c r="K236">
        <v>1</v>
      </c>
      <c r="L236">
        <v>0</v>
      </c>
      <c r="M236">
        <f t="shared" si="12"/>
        <v>1</v>
      </c>
      <c r="N236">
        <f t="shared" si="13"/>
        <v>1</v>
      </c>
      <c r="O236" t="s">
        <v>1229</v>
      </c>
      <c r="P236" t="s">
        <v>1169</v>
      </c>
      <c r="Q236" t="str">
        <f>HYPERLINK(".\links\GO\TI-405-GO.txt","GO")</f>
        <v>GO</v>
      </c>
      <c r="R236" s="3">
        <v>1E-58</v>
      </c>
      <c r="S236">
        <v>16.600000000000001</v>
      </c>
      <c r="T236" t="str">
        <f>HYPERLINK(".\links\NR-LIGHT\TI-405-NR-LIGHT.txt","Cytoplasmic polyadenylation element-binding protein, putative")</f>
        <v>Cytoplasmic polyadenylation element-binding protein, putative</v>
      </c>
      <c r="U236" t="str">
        <f>HYPERLINK("http://www.ncbi.nlm.nih.gov/sutils/blink.cgi?pid=242019529","8E-060")</f>
        <v>8E-060</v>
      </c>
      <c r="V236" t="str">
        <f>HYPERLINK("http://www.ncbi.nlm.nih.gov/protein/242019529","gi|242019529")</f>
        <v>gi|242019529</v>
      </c>
      <c r="W236">
        <v>231</v>
      </c>
      <c r="X236">
        <v>145</v>
      </c>
      <c r="Y236">
        <v>375</v>
      </c>
      <c r="Z236">
        <v>71</v>
      </c>
      <c r="AA236">
        <v>39</v>
      </c>
      <c r="AB236">
        <v>42</v>
      </c>
      <c r="AC236">
        <v>0</v>
      </c>
      <c r="AD236">
        <v>217</v>
      </c>
      <c r="AE236">
        <v>13</v>
      </c>
      <c r="AF236">
        <v>1</v>
      </c>
      <c r="AG236"/>
      <c r="AH236" t="s">
        <v>13</v>
      </c>
      <c r="AI236" t="s">
        <v>51</v>
      </c>
      <c r="AJ236" t="s">
        <v>268</v>
      </c>
      <c r="AK236" t="str">
        <f>HYPERLINK(".\links\SWISSP\TI-405-SWISSP.txt","Cytoplasmic polyadenylation element-binding protein 1-A OS=Xenopus laevis")</f>
        <v>Cytoplasmic polyadenylation element-binding protein 1-A OS=Xenopus laevis</v>
      </c>
      <c r="AL236" t="str">
        <f>HYPERLINK("http://www.uniprot.org/uniprot/Q91572","2E-057")</f>
        <v>2E-057</v>
      </c>
      <c r="AM236" t="s">
        <v>213</v>
      </c>
      <c r="AN236">
        <v>221</v>
      </c>
      <c r="AO236">
        <v>141</v>
      </c>
      <c r="AP236">
        <v>568</v>
      </c>
      <c r="AQ236">
        <v>69</v>
      </c>
      <c r="AR236">
        <v>25</v>
      </c>
      <c r="AS236">
        <v>43</v>
      </c>
      <c r="AT236">
        <v>0</v>
      </c>
      <c r="AU236">
        <v>425</v>
      </c>
      <c r="AV236">
        <v>12</v>
      </c>
      <c r="AW236">
        <v>1</v>
      </c>
      <c r="AX236" t="s">
        <v>214</v>
      </c>
      <c r="AY236" t="str">
        <f>HYPERLINK(".\links\PREV-RHOD-PEP\TI-405-PREV-RHOD-PEP.txt","Contig8391_3")</f>
        <v>Contig8391_3</v>
      </c>
      <c r="AZ236" s="3">
        <v>9.9999999999999995E-58</v>
      </c>
      <c r="BA236" t="s">
        <v>1128</v>
      </c>
      <c r="BB236">
        <v>218</v>
      </c>
      <c r="BC236">
        <v>119</v>
      </c>
      <c r="BD236">
        <v>579</v>
      </c>
      <c r="BE236">
        <v>88</v>
      </c>
      <c r="BF236">
        <v>21</v>
      </c>
      <c r="BG236">
        <v>14</v>
      </c>
      <c r="BH236">
        <v>5</v>
      </c>
      <c r="BI236">
        <v>438</v>
      </c>
      <c r="BJ236">
        <v>6</v>
      </c>
      <c r="BK236">
        <v>1</v>
      </c>
      <c r="BL236" t="s">
        <v>865</v>
      </c>
      <c r="BM236">
        <f>HYPERLINK(".\links\GO\TI-405-GO.txt",1E-58)</f>
        <v>1E-58</v>
      </c>
      <c r="BN236" t="s">
        <v>866</v>
      </c>
      <c r="BO236" t="s">
        <v>340</v>
      </c>
      <c r="BP236" t="s">
        <v>468</v>
      </c>
      <c r="BQ236" t="s">
        <v>867</v>
      </c>
      <c r="BR236" s="3">
        <v>1E-58</v>
      </c>
      <c r="BS236" t="s">
        <v>356</v>
      </c>
      <c r="BT236" t="s">
        <v>323</v>
      </c>
      <c r="BU236" t="s">
        <v>334</v>
      </c>
      <c r="BV236" t="s">
        <v>357</v>
      </c>
      <c r="BW236" s="3">
        <v>1E-58</v>
      </c>
      <c r="BX236" t="s">
        <v>868</v>
      </c>
      <c r="BY236" t="s">
        <v>340</v>
      </c>
      <c r="BZ236" t="s">
        <v>468</v>
      </c>
      <c r="CA236" t="s">
        <v>869</v>
      </c>
      <c r="CB236" s="3">
        <v>1E-58</v>
      </c>
      <c r="CC236" t="s">
        <v>8</v>
      </c>
      <c r="CD236"/>
      <c r="CE236"/>
      <c r="CF236" t="s">
        <v>8</v>
      </c>
      <c r="CG236"/>
      <c r="CH236"/>
      <c r="CI236" t="s">
        <v>8</v>
      </c>
      <c r="CJ236"/>
      <c r="CK236" t="s">
        <v>8</v>
      </c>
      <c r="CL236"/>
      <c r="CM236" t="s">
        <v>8</v>
      </c>
      <c r="CN236"/>
      <c r="CO236" t="s">
        <v>8</v>
      </c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 t="s">
        <v>8</v>
      </c>
      <c r="DD236"/>
      <c r="DE236"/>
      <c r="DF236"/>
      <c r="DG236"/>
      <c r="DH236"/>
      <c r="DI236"/>
      <c r="DJ236"/>
      <c r="DK236"/>
      <c r="DL236"/>
      <c r="DM236"/>
      <c r="DN236"/>
      <c r="DO236"/>
      <c r="DP236"/>
    </row>
    <row r="237" spans="1:120" s="4" customFormat="1">
      <c r="A237" s="6" t="str">
        <f>HYPERLINK(".\links\pep\TI-406-pep.txt","TI-406")</f>
        <v>TI-406</v>
      </c>
      <c r="B237" s="6">
        <v>406</v>
      </c>
      <c r="C237" s="6" t="s">
        <v>10</v>
      </c>
      <c r="D237" s="6">
        <v>20</v>
      </c>
      <c r="E237" s="6">
        <v>0</v>
      </c>
      <c r="F237" s="6" t="str">
        <f>HYPERLINK(".\links\cds\TI-406-cds.txt","TI-406")</f>
        <v>TI-406</v>
      </c>
      <c r="G237" s="6">
        <v>63</v>
      </c>
      <c r="H237" s="6"/>
      <c r="I237" s="6" t="s">
        <v>8</v>
      </c>
      <c r="J237" s="6" t="s">
        <v>6</v>
      </c>
      <c r="K237" s="6">
        <v>1</v>
      </c>
      <c r="L237" s="6">
        <v>0</v>
      </c>
      <c r="M237" s="6">
        <f t="shared" si="12"/>
        <v>1</v>
      </c>
      <c r="N237" s="6">
        <f t="shared" si="13"/>
        <v>1</v>
      </c>
      <c r="O237" s="6" t="s">
        <v>1170</v>
      </c>
      <c r="P237" s="6" t="s">
        <v>1171</v>
      </c>
      <c r="Q237" s="6"/>
      <c r="R237" s="6"/>
      <c r="S237" s="6"/>
      <c r="T237" s="6" t="s">
        <v>8</v>
      </c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 t="s">
        <v>8</v>
      </c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 t="s">
        <v>8</v>
      </c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 t="s">
        <v>8</v>
      </c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 t="s">
        <v>8</v>
      </c>
      <c r="CD237" s="6"/>
      <c r="CE237" s="6"/>
      <c r="CF237" s="6" t="s">
        <v>8</v>
      </c>
      <c r="CG237" s="6"/>
      <c r="CH237" s="6"/>
      <c r="CI237" s="6" t="s">
        <v>8</v>
      </c>
      <c r="CJ237" s="6"/>
      <c r="CK237" s="6" t="s">
        <v>8</v>
      </c>
      <c r="CL237" s="6"/>
      <c r="CM237" s="6" t="s">
        <v>8</v>
      </c>
      <c r="CN237" s="6"/>
      <c r="CO237" s="6" t="s">
        <v>8</v>
      </c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 t="s">
        <v>8</v>
      </c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</row>
    <row r="238" spans="1:120" s="4" customFormat="1">
      <c r="A238" t="str">
        <f>HYPERLINK(".\links\pep\TI-407-pep.txt","TI-407")</f>
        <v>TI-407</v>
      </c>
      <c r="B238">
        <v>407</v>
      </c>
      <c r="C238" t="s">
        <v>16</v>
      </c>
      <c r="D238">
        <v>53</v>
      </c>
      <c r="E238">
        <v>0</v>
      </c>
      <c r="F238" t="str">
        <f>HYPERLINK(".\links\cds\TI-407-cds.txt","TI-407")</f>
        <v>TI-407</v>
      </c>
      <c r="G238">
        <v>162</v>
      </c>
      <c r="H238"/>
      <c r="I238" t="s">
        <v>8</v>
      </c>
      <c r="J238" t="s">
        <v>6</v>
      </c>
      <c r="K238">
        <v>1</v>
      </c>
      <c r="L238">
        <v>0</v>
      </c>
      <c r="M238">
        <f t="shared" si="12"/>
        <v>1</v>
      </c>
      <c r="N238">
        <f t="shared" si="13"/>
        <v>1</v>
      </c>
      <c r="O238" t="s">
        <v>1327</v>
      </c>
      <c r="P238" t="s">
        <v>1172</v>
      </c>
      <c r="Q238" t="str">
        <f>HYPERLINK(".\links\NR-LIGHT\TI-407-NR-LIGHT.txt","NR-LIGHT")</f>
        <v>NR-LIGHT</v>
      </c>
      <c r="R238">
        <v>2E-12</v>
      </c>
      <c r="S238">
        <v>19.7</v>
      </c>
      <c r="T238" t="str">
        <f>HYPERLINK(".\links\NR-LIGHT\TI-407-NR-LIGHT.txt","Aquaporin AQPcic, putative")</f>
        <v>Aquaporin AQPcic, putative</v>
      </c>
      <c r="U238" t="str">
        <f>HYPERLINK("http://www.ncbi.nlm.nih.gov/sutils/blink.cgi?pid=242018018","2E-012")</f>
        <v>2E-012</v>
      </c>
      <c r="V238" t="str">
        <f>HYPERLINK("http://www.ncbi.nlm.nih.gov/protein/242018018","gi|242018018")</f>
        <v>gi|242018018</v>
      </c>
      <c r="W238">
        <v>73.599999999999994</v>
      </c>
      <c r="X238">
        <v>51</v>
      </c>
      <c r="Y238">
        <v>263</v>
      </c>
      <c r="Z238">
        <v>65</v>
      </c>
      <c r="AA238">
        <v>20</v>
      </c>
      <c r="AB238">
        <v>18</v>
      </c>
      <c r="AC238">
        <v>0</v>
      </c>
      <c r="AD238">
        <v>198</v>
      </c>
      <c r="AE238">
        <v>1</v>
      </c>
      <c r="AF238">
        <v>1</v>
      </c>
      <c r="AG238"/>
      <c r="AH238" t="s">
        <v>13</v>
      </c>
      <c r="AI238" t="s">
        <v>51</v>
      </c>
      <c r="AJ238" t="s">
        <v>268</v>
      </c>
      <c r="AK238" t="str">
        <f>HYPERLINK(".\links\SWISSP\TI-407-SWISSP.txt","Aquaporin-4 OS=Mus musculus GN=Aqp4 PE=2 SV=2")</f>
        <v>Aquaporin-4 OS=Mus musculus GN=Aqp4 PE=2 SV=2</v>
      </c>
      <c r="AL238" t="str">
        <f>HYPERLINK("http://www.uniprot.org/uniprot/P55088","3E-010")</f>
        <v>3E-010</v>
      </c>
      <c r="AM238" t="s">
        <v>215</v>
      </c>
      <c r="AN238">
        <v>63.9</v>
      </c>
      <c r="AO238">
        <v>50</v>
      </c>
      <c r="AP238">
        <v>323</v>
      </c>
      <c r="AQ238">
        <v>50</v>
      </c>
      <c r="AR238">
        <v>16</v>
      </c>
      <c r="AS238">
        <v>25</v>
      </c>
      <c r="AT238">
        <v>0</v>
      </c>
      <c r="AU238">
        <v>210</v>
      </c>
      <c r="AV238">
        <v>1</v>
      </c>
      <c r="AW238">
        <v>1</v>
      </c>
      <c r="AX238" t="s">
        <v>87</v>
      </c>
      <c r="AY238" t="str">
        <f>HYPERLINK(".\links\PREV-RHOD-PEP\TI-407-PREV-RHOD-PEP.txt","Contig4234_4")</f>
        <v>Contig4234_4</v>
      </c>
      <c r="AZ238" s="3">
        <v>4.9999999999999995E-22</v>
      </c>
      <c r="BA238" t="s">
        <v>1129</v>
      </c>
      <c r="BB238">
        <v>99.4</v>
      </c>
      <c r="BC238">
        <v>49</v>
      </c>
      <c r="BD238">
        <v>326</v>
      </c>
      <c r="BE238">
        <v>92</v>
      </c>
      <c r="BF238">
        <v>15</v>
      </c>
      <c r="BG238">
        <v>4</v>
      </c>
      <c r="BH238">
        <v>0</v>
      </c>
      <c r="BI238">
        <v>154</v>
      </c>
      <c r="BJ238">
        <v>1</v>
      </c>
      <c r="BK238">
        <v>1</v>
      </c>
      <c r="BL238" t="s">
        <v>870</v>
      </c>
      <c r="BM238">
        <f>HYPERLINK(".\links\GO\TI-407-GO.txt",0.00000000007)</f>
        <v>7.0000000000000004E-11</v>
      </c>
      <c r="BN238" t="s">
        <v>421</v>
      </c>
      <c r="BO238" t="s">
        <v>319</v>
      </c>
      <c r="BP238" t="s">
        <v>422</v>
      </c>
      <c r="BQ238" t="s">
        <v>423</v>
      </c>
      <c r="BR238">
        <v>7.0000000000000004E-11</v>
      </c>
      <c r="BS238" t="s">
        <v>871</v>
      </c>
      <c r="BT238" t="s">
        <v>323</v>
      </c>
      <c r="BU238" t="s">
        <v>324</v>
      </c>
      <c r="BV238" t="s">
        <v>872</v>
      </c>
      <c r="BW238">
        <v>7.0000000000000004E-11</v>
      </c>
      <c r="BX238" t="s">
        <v>873</v>
      </c>
      <c r="BY238" t="s">
        <v>319</v>
      </c>
      <c r="BZ238" t="s">
        <v>422</v>
      </c>
      <c r="CA238" t="s">
        <v>874</v>
      </c>
      <c r="CB238">
        <v>7.0000000000000004E-11</v>
      </c>
      <c r="CC238" t="s">
        <v>8</v>
      </c>
      <c r="CD238"/>
      <c r="CE238"/>
      <c r="CF238" t="s">
        <v>8</v>
      </c>
      <c r="CG238"/>
      <c r="CH238"/>
      <c r="CI238" t="s">
        <v>8</v>
      </c>
      <c r="CJ238"/>
      <c r="CK238" t="s">
        <v>8</v>
      </c>
      <c r="CL238"/>
      <c r="CM238" t="s">
        <v>8</v>
      </c>
      <c r="CN238"/>
      <c r="CO238" t="s">
        <v>8</v>
      </c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 t="s">
        <v>8</v>
      </c>
      <c r="DD238"/>
      <c r="DE238"/>
      <c r="DF238"/>
      <c r="DG238"/>
      <c r="DH238"/>
      <c r="DI238"/>
      <c r="DJ238"/>
      <c r="DK238"/>
      <c r="DL238"/>
      <c r="DM238"/>
      <c r="DN238"/>
      <c r="DO238"/>
      <c r="DP238"/>
    </row>
    <row r="239" spans="1:120" s="4" customFormat="1">
      <c r="A239" s="6" t="str">
        <f>HYPERLINK(".\links\pep\TI-408-pep.txt","TI-408")</f>
        <v>TI-408</v>
      </c>
      <c r="B239" s="6">
        <v>408</v>
      </c>
      <c r="C239" s="6" t="s">
        <v>13</v>
      </c>
      <c r="D239" s="6">
        <v>42</v>
      </c>
      <c r="E239" s="6">
        <v>0</v>
      </c>
      <c r="F239" s="6" t="str">
        <f>HYPERLINK(".\links\cds\TI-408-cds.txt","TI-408")</f>
        <v>TI-408</v>
      </c>
      <c r="G239" s="6">
        <v>125</v>
      </c>
      <c r="H239" s="6"/>
      <c r="I239" s="6" t="s">
        <v>8</v>
      </c>
      <c r="J239" s="6" t="s">
        <v>8</v>
      </c>
      <c r="K239" s="6">
        <v>1</v>
      </c>
      <c r="L239" s="6">
        <v>0</v>
      </c>
      <c r="M239" s="6">
        <f t="shared" si="12"/>
        <v>1</v>
      </c>
      <c r="N239" s="6">
        <f t="shared" si="13"/>
        <v>1</v>
      </c>
      <c r="O239" s="6" t="s">
        <v>1170</v>
      </c>
      <c r="P239" s="6" t="s">
        <v>1171</v>
      </c>
      <c r="Q239" s="6"/>
      <c r="R239" s="6"/>
      <c r="S239" s="6"/>
      <c r="T239" s="6" t="str">
        <f>HYPERLINK(".\links\NR-LIGHT\TI-408-NR-LIGHT.txt","RDRP")</f>
        <v>RDRP</v>
      </c>
      <c r="U239" s="6" t="str">
        <f>HYPERLINK("http://www.ncbi.nlm.nih.gov/sutils/blink.cgi?pid=262092990","0.61")</f>
        <v>0.61</v>
      </c>
      <c r="V239" s="6" t="str">
        <f>HYPERLINK("http://www.ncbi.nlm.nih.gov/protein/262092990","gi|262092990")</f>
        <v>gi|262092990</v>
      </c>
      <c r="W239" s="6">
        <v>35</v>
      </c>
      <c r="X239" s="6">
        <v>36</v>
      </c>
      <c r="Y239" s="6">
        <v>216</v>
      </c>
      <c r="Z239" s="6">
        <v>40</v>
      </c>
      <c r="AA239" s="6">
        <v>17</v>
      </c>
      <c r="AB239" s="6">
        <v>22</v>
      </c>
      <c r="AC239" s="6">
        <v>0</v>
      </c>
      <c r="AD239" s="6">
        <v>35</v>
      </c>
      <c r="AE239" s="6">
        <v>1</v>
      </c>
      <c r="AF239" s="6">
        <v>1</v>
      </c>
      <c r="AG239" s="6"/>
      <c r="AH239" s="6" t="s">
        <v>13</v>
      </c>
      <c r="AI239" s="6" t="s">
        <v>51</v>
      </c>
      <c r="AJ239" s="6" t="s">
        <v>286</v>
      </c>
      <c r="AK239" s="6" t="s">
        <v>8</v>
      </c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 t="s">
        <v>8</v>
      </c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 t="s">
        <v>8</v>
      </c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 t="s">
        <v>8</v>
      </c>
      <c r="CD239" s="6"/>
      <c r="CE239" s="6"/>
      <c r="CF239" s="6" t="s">
        <v>8</v>
      </c>
      <c r="CG239" s="6"/>
      <c r="CH239" s="6"/>
      <c r="CI239" s="6" t="s">
        <v>8</v>
      </c>
      <c r="CJ239" s="6"/>
      <c r="CK239" s="6" t="s">
        <v>8</v>
      </c>
      <c r="CL239" s="6"/>
      <c r="CM239" s="6" t="s">
        <v>8</v>
      </c>
      <c r="CN239" s="6"/>
      <c r="CO239" s="6" t="s">
        <v>8</v>
      </c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 t="s">
        <v>8</v>
      </c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</row>
    <row r="240" spans="1:120" s="4" customFormat="1">
      <c r="A240" t="str">
        <f>HYPERLINK(".\links\pep\TI-409-pep.txt","TI-409")</f>
        <v>TI-409</v>
      </c>
      <c r="B240">
        <v>409</v>
      </c>
      <c r="C240" t="s">
        <v>7</v>
      </c>
      <c r="D240">
        <v>87</v>
      </c>
      <c r="E240">
        <v>0</v>
      </c>
      <c r="F240" t="str">
        <f>HYPERLINK(".\links\cds\TI-409-cds.txt","TI-409")</f>
        <v>TI-409</v>
      </c>
      <c r="G240">
        <v>264</v>
      </c>
      <c r="H240"/>
      <c r="I240" t="s">
        <v>29</v>
      </c>
      <c r="J240" t="s">
        <v>6</v>
      </c>
      <c r="K240">
        <v>1</v>
      </c>
      <c r="L240">
        <v>0</v>
      </c>
      <c r="M240">
        <f t="shared" si="12"/>
        <v>1</v>
      </c>
      <c r="N240">
        <f t="shared" si="13"/>
        <v>1</v>
      </c>
      <c r="O240" t="s">
        <v>1328</v>
      </c>
      <c r="P240" t="s">
        <v>1178</v>
      </c>
      <c r="Q240" t="str">
        <f>HYPERLINK(".\links\NR-LIGHT\TI-409-NR-LIGHT.txt","NR-LIGHT")</f>
        <v>NR-LIGHT</v>
      </c>
      <c r="R240" s="3">
        <v>9.9999999999999991E-22</v>
      </c>
      <c r="S240">
        <v>21.5</v>
      </c>
      <c r="T240" t="str">
        <f>HYPERLINK(".\links\NR-LIGHT\TI-409-NR-LIGHT.txt","pre-mRNA-splicing factor cwc15, putative")</f>
        <v>pre-mRNA-splicing factor cwc15, putative</v>
      </c>
      <c r="U240" t="str">
        <f>HYPERLINK("http://www.ncbi.nlm.nih.gov/sutils/blink.cgi?pid=242007951","1E-021")</f>
        <v>1E-021</v>
      </c>
      <c r="V240" t="str">
        <f>HYPERLINK("http://www.ncbi.nlm.nih.gov/protein/242007951","gi|242007951")</f>
        <v>gi|242007951</v>
      </c>
      <c r="W240">
        <v>103</v>
      </c>
      <c r="X240">
        <v>49</v>
      </c>
      <c r="Y240">
        <v>232</v>
      </c>
      <c r="Z240">
        <v>96</v>
      </c>
      <c r="AA240">
        <v>22</v>
      </c>
      <c r="AB240">
        <v>2</v>
      </c>
      <c r="AC240">
        <v>0</v>
      </c>
      <c r="AD240">
        <v>1</v>
      </c>
      <c r="AE240">
        <v>1</v>
      </c>
      <c r="AF240">
        <v>1</v>
      </c>
      <c r="AG240"/>
      <c r="AH240" t="s">
        <v>13</v>
      </c>
      <c r="AI240" t="s">
        <v>51</v>
      </c>
      <c r="AJ240" t="s">
        <v>268</v>
      </c>
      <c r="AK240" t="str">
        <f>HYPERLINK(".\links\SWISSP\TI-409-SWISSP.txt","Protein CWC15 homolog OS=Drosophila melanogaster GN=c12.1 PE=1 SV=1")</f>
        <v>Protein CWC15 homolog OS=Drosophila melanogaster GN=c12.1 PE=1 SV=1</v>
      </c>
      <c r="AL240" t="str">
        <f>HYPERLINK("http://www.uniprot.org/uniprot/Q9V3B6","1E-019")</f>
        <v>1E-019</v>
      </c>
      <c r="AM240" t="s">
        <v>216</v>
      </c>
      <c r="AN240">
        <v>94.7</v>
      </c>
      <c r="AO240">
        <v>49</v>
      </c>
      <c r="AP240">
        <v>259</v>
      </c>
      <c r="AQ240">
        <v>88</v>
      </c>
      <c r="AR240">
        <v>19</v>
      </c>
      <c r="AS240">
        <v>6</v>
      </c>
      <c r="AT240">
        <v>0</v>
      </c>
      <c r="AU240">
        <v>1</v>
      </c>
      <c r="AV240">
        <v>1</v>
      </c>
      <c r="AW240">
        <v>1</v>
      </c>
      <c r="AX240" t="s">
        <v>52</v>
      </c>
      <c r="AY240" t="str">
        <f>HYPERLINK(".\links\PREV-RHOD-PEP\TI-409-PREV-RHOD-PEP.txt","Contig17852_77")</f>
        <v>Contig17852_77</v>
      </c>
      <c r="AZ240" s="3">
        <v>1E-26</v>
      </c>
      <c r="BA240" t="s">
        <v>1130</v>
      </c>
      <c r="BB240">
        <v>114</v>
      </c>
      <c r="BC240">
        <v>86</v>
      </c>
      <c r="BD240">
        <v>215</v>
      </c>
      <c r="BE240">
        <v>67</v>
      </c>
      <c r="BF240">
        <v>40</v>
      </c>
      <c r="BG240">
        <v>28</v>
      </c>
      <c r="BH240">
        <v>0</v>
      </c>
      <c r="BI240">
        <v>1</v>
      </c>
      <c r="BJ240">
        <v>1</v>
      </c>
      <c r="BK240">
        <v>1</v>
      </c>
      <c r="BL240" t="s">
        <v>875</v>
      </c>
      <c r="BM240">
        <f>HYPERLINK(".\links\GO\TI-409-GO.txt",3E-20)</f>
        <v>3.0000000000000003E-20</v>
      </c>
      <c r="BN240" t="s">
        <v>373</v>
      </c>
      <c r="BO240" t="s">
        <v>373</v>
      </c>
      <c r="BP240"/>
      <c r="BQ240" t="s">
        <v>374</v>
      </c>
      <c r="BR240" s="3">
        <v>2.9999999999999999E-16</v>
      </c>
      <c r="BS240" t="s">
        <v>375</v>
      </c>
      <c r="BT240" t="s">
        <v>375</v>
      </c>
      <c r="BU240"/>
      <c r="BV240" t="s">
        <v>376</v>
      </c>
      <c r="BW240" s="3">
        <v>2.9999999999999999E-16</v>
      </c>
      <c r="BX240" t="s">
        <v>715</v>
      </c>
      <c r="BY240" t="s">
        <v>373</v>
      </c>
      <c r="BZ240"/>
      <c r="CA240" t="s">
        <v>716</v>
      </c>
      <c r="CB240" s="3">
        <v>2.9999999999999999E-16</v>
      </c>
      <c r="CC240" t="s">
        <v>8</v>
      </c>
      <c r="CD240"/>
      <c r="CE240"/>
      <c r="CF240" t="s">
        <v>8</v>
      </c>
      <c r="CG240"/>
      <c r="CH240"/>
      <c r="CI240" t="s">
        <v>8</v>
      </c>
      <c r="CJ240"/>
      <c r="CK240" t="s">
        <v>8</v>
      </c>
      <c r="CL240"/>
      <c r="CM240" t="s">
        <v>8</v>
      </c>
      <c r="CN240"/>
      <c r="CO240" t="s">
        <v>8</v>
      </c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 t="s">
        <v>8</v>
      </c>
      <c r="DD240"/>
      <c r="DE240"/>
      <c r="DF240"/>
      <c r="DG240"/>
      <c r="DH240"/>
      <c r="DI240"/>
      <c r="DJ240"/>
      <c r="DK240"/>
      <c r="DL240"/>
      <c r="DM240"/>
      <c r="DN240"/>
      <c r="DO240"/>
      <c r="DP240"/>
    </row>
    <row r="241" spans="1:120" s="4" customFormat="1">
      <c r="A241" t="str">
        <f>HYPERLINK(".\links\pep\TI-410-pep.txt","TI-410")</f>
        <v>TI-410</v>
      </c>
      <c r="B241">
        <v>410</v>
      </c>
      <c r="C241" t="s">
        <v>17</v>
      </c>
      <c r="D241">
        <v>131</v>
      </c>
      <c r="E241">
        <v>0</v>
      </c>
      <c r="F241" t="str">
        <f>HYPERLINK(".\links\cds\TI-410-cds.txt","TI-410")</f>
        <v>TI-410</v>
      </c>
      <c r="G241">
        <v>392</v>
      </c>
      <c r="H241"/>
      <c r="I241" t="s">
        <v>8</v>
      </c>
      <c r="J241" t="s">
        <v>8</v>
      </c>
      <c r="K241">
        <v>1</v>
      </c>
      <c r="L241">
        <v>0</v>
      </c>
      <c r="M241">
        <f t="shared" si="12"/>
        <v>1</v>
      </c>
      <c r="N241">
        <f t="shared" si="13"/>
        <v>1</v>
      </c>
      <c r="O241" t="s">
        <v>1230</v>
      </c>
      <c r="P241" t="s">
        <v>1187</v>
      </c>
      <c r="Q241" t="str">
        <f>HYPERLINK(".\links\NR-LIGHT\TI-410-NR-LIGHT.txt","NR-LIGHT")</f>
        <v>NR-LIGHT</v>
      </c>
      <c r="R241" s="3">
        <v>9.9999999999999998E-46</v>
      </c>
      <c r="S241">
        <v>2.7</v>
      </c>
      <c r="T241" t="str">
        <f>HYPERLINK(".\links\NR-LIGHT\TI-410-NR-LIGHT.txt","low-density lipoprotein receptor, putative")</f>
        <v>low-density lipoprotein receptor, putative</v>
      </c>
      <c r="U241" t="str">
        <f>HYPERLINK("http://www.ncbi.nlm.nih.gov/sutils/blink.cgi?pid=242018517","1E-045")</f>
        <v>1E-045</v>
      </c>
      <c r="V241" t="str">
        <f>HYPERLINK("http://www.ncbi.nlm.nih.gov/protein/242018517","gi|242018517")</f>
        <v>gi|242018517</v>
      </c>
      <c r="W241">
        <v>184</v>
      </c>
      <c r="X241">
        <v>3894</v>
      </c>
      <c r="Y241">
        <v>4603</v>
      </c>
      <c r="Z241">
        <v>64</v>
      </c>
      <c r="AA241">
        <v>85</v>
      </c>
      <c r="AB241">
        <v>46</v>
      </c>
      <c r="AC241">
        <v>0</v>
      </c>
      <c r="AD241">
        <v>214</v>
      </c>
      <c r="AE241">
        <v>1</v>
      </c>
      <c r="AF241">
        <v>11</v>
      </c>
      <c r="AG241"/>
      <c r="AH241" t="s">
        <v>13</v>
      </c>
      <c r="AI241" t="s">
        <v>51</v>
      </c>
      <c r="AJ241" t="s">
        <v>268</v>
      </c>
      <c r="AK241" t="str">
        <f>HYPERLINK(".\links\SWISSP\TI-410-SWISSP.txt","Low-density lipoprotein receptor-related protein 1 OS=Gallus gallus GN=LRP1 PE=2")</f>
        <v>Low-density lipoprotein receptor-related protein 1 OS=Gallus gallus GN=LRP1 PE=2</v>
      </c>
      <c r="AL241" t="str">
        <f>HYPERLINK("http://www.uniprot.org/uniprot/P98157","8E-030")</f>
        <v>8E-030</v>
      </c>
      <c r="AM241" t="s">
        <v>217</v>
      </c>
      <c r="AN241">
        <v>128</v>
      </c>
      <c r="AO241">
        <v>3804</v>
      </c>
      <c r="AP241">
        <v>4543</v>
      </c>
      <c r="AQ241">
        <v>45</v>
      </c>
      <c r="AR241">
        <v>84</v>
      </c>
      <c r="AS241">
        <v>73</v>
      </c>
      <c r="AT241">
        <v>7</v>
      </c>
      <c r="AU241">
        <v>341</v>
      </c>
      <c r="AV241">
        <v>3</v>
      </c>
      <c r="AW241">
        <v>8</v>
      </c>
      <c r="AX241" t="s">
        <v>126</v>
      </c>
      <c r="AY241" t="str">
        <f>HYPERLINK(".\links\PREV-RHOD-PEP\TI-410-PREV-RHOD-PEP.txt","Contig17836_23")</f>
        <v>Contig17836_23</v>
      </c>
      <c r="AZ241" s="3">
        <v>2.9999999999999998E-25</v>
      </c>
      <c r="BA241" t="s">
        <v>1131</v>
      </c>
      <c r="BB241">
        <v>109</v>
      </c>
      <c r="BC241">
        <v>2800</v>
      </c>
      <c r="BD241">
        <v>4848</v>
      </c>
      <c r="BE241">
        <v>87</v>
      </c>
      <c r="BF241">
        <v>58</v>
      </c>
      <c r="BG241">
        <v>7</v>
      </c>
      <c r="BH241">
        <v>0</v>
      </c>
      <c r="BI241">
        <v>12</v>
      </c>
      <c r="BJ241">
        <v>3</v>
      </c>
      <c r="BK241">
        <v>6</v>
      </c>
      <c r="BL241" t="s">
        <v>876</v>
      </c>
      <c r="BM241">
        <f>HYPERLINK(".\links\GO\TI-410-GO.txt",1E-29)</f>
        <v>9.9999999999999994E-30</v>
      </c>
      <c r="BN241" t="s">
        <v>339</v>
      </c>
      <c r="BO241" t="s">
        <v>340</v>
      </c>
      <c r="BP241" t="s">
        <v>341</v>
      </c>
      <c r="BQ241" t="s">
        <v>342</v>
      </c>
      <c r="BR241" s="3">
        <v>9.9999999999999994E-30</v>
      </c>
      <c r="BS241" t="s">
        <v>424</v>
      </c>
      <c r="BT241" t="s">
        <v>323</v>
      </c>
      <c r="BU241" t="s">
        <v>390</v>
      </c>
      <c r="BV241" t="s">
        <v>425</v>
      </c>
      <c r="BW241" s="3">
        <v>9.9999999999999994E-30</v>
      </c>
      <c r="BX241" t="s">
        <v>877</v>
      </c>
      <c r="BY241" t="s">
        <v>340</v>
      </c>
      <c r="BZ241" t="s">
        <v>341</v>
      </c>
      <c r="CA241" t="s">
        <v>878</v>
      </c>
      <c r="CB241" s="3">
        <v>9.9999999999999994E-30</v>
      </c>
      <c r="CC241" t="s">
        <v>8</v>
      </c>
      <c r="CD241"/>
      <c r="CE241"/>
      <c r="CF241" t="s">
        <v>8</v>
      </c>
      <c r="CG241"/>
      <c r="CH241"/>
      <c r="CI241" t="s">
        <v>8</v>
      </c>
      <c r="CJ241"/>
      <c r="CK241" t="s">
        <v>8</v>
      </c>
      <c r="CL241"/>
      <c r="CM241" t="s">
        <v>8</v>
      </c>
      <c r="CN241"/>
      <c r="CO241" t="s">
        <v>8</v>
      </c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 t="s">
        <v>8</v>
      </c>
      <c r="DD241"/>
      <c r="DE241"/>
      <c r="DF241"/>
      <c r="DG241"/>
      <c r="DH241"/>
      <c r="DI241"/>
      <c r="DJ241"/>
      <c r="DK241"/>
      <c r="DL241"/>
      <c r="DM241"/>
      <c r="DN241"/>
      <c r="DO241"/>
      <c r="DP241"/>
    </row>
    <row r="242" spans="1:120" s="4" customFormat="1">
      <c r="A242" s="6" t="str">
        <f>HYPERLINK(".\links\pep\TI-412-pep.txt","TI-412")</f>
        <v>TI-412</v>
      </c>
      <c r="B242" s="6">
        <v>412</v>
      </c>
      <c r="C242" s="6" t="s">
        <v>7</v>
      </c>
      <c r="D242" s="6">
        <v>208</v>
      </c>
      <c r="E242" s="6">
        <v>0</v>
      </c>
      <c r="F242" s="6" t="str">
        <f>HYPERLINK(".\links\cds\TI-412-cds.txt","TI-412")</f>
        <v>TI-412</v>
      </c>
      <c r="G242" s="6">
        <v>627</v>
      </c>
      <c r="H242" s="6"/>
      <c r="I242" s="6" t="s">
        <v>29</v>
      </c>
      <c r="J242" s="6" t="s">
        <v>6</v>
      </c>
      <c r="K242" s="6">
        <v>1</v>
      </c>
      <c r="L242" s="6">
        <v>1</v>
      </c>
      <c r="M242" s="6">
        <f t="shared" ref="M242:M290" si="14">K242-L242</f>
        <v>0</v>
      </c>
      <c r="N242" s="6">
        <f t="shared" ref="N242:N290" si="15">ABS(K242-L242)</f>
        <v>0</v>
      </c>
      <c r="O242" s="6" t="s">
        <v>1170</v>
      </c>
      <c r="P242" s="6" t="s">
        <v>1171</v>
      </c>
      <c r="Q242" s="6"/>
      <c r="R242" s="6"/>
      <c r="S242" s="6"/>
      <c r="T242" s="6" t="str">
        <f>HYPERLINK(".\links\NR-LIGHT\TI-412-NR-LIGHT.txt","Bombyrin")</f>
        <v>Bombyrin</v>
      </c>
      <c r="U242" s="6" t="str">
        <f>HYPERLINK("http://www.ncbi.nlm.nih.gov/sutils/blink.cgi?pid=112983654","5E-008")</f>
        <v>5E-008</v>
      </c>
      <c r="V242" s="6" t="str">
        <f>HYPERLINK("http://www.ncbi.nlm.nih.gov/protein/112983654","gi|112983654")</f>
        <v>gi|112983654</v>
      </c>
      <c r="W242" s="6">
        <v>60.1</v>
      </c>
      <c r="X242" s="6">
        <v>159</v>
      </c>
      <c r="Y242" s="6">
        <v>201</v>
      </c>
      <c r="Z242" s="6">
        <v>28</v>
      </c>
      <c r="AA242" s="6">
        <v>80</v>
      </c>
      <c r="AB242" s="6">
        <v>119</v>
      </c>
      <c r="AC242" s="6">
        <v>11</v>
      </c>
      <c r="AD242" s="6">
        <v>20</v>
      </c>
      <c r="AE242" s="6">
        <v>33</v>
      </c>
      <c r="AF242" s="6">
        <v>1</v>
      </c>
      <c r="AG242" s="6"/>
      <c r="AH242" s="6" t="s">
        <v>13</v>
      </c>
      <c r="AI242" s="6" t="s">
        <v>51</v>
      </c>
      <c r="AJ242" s="6" t="s">
        <v>54</v>
      </c>
      <c r="AK242" s="6" t="str">
        <f>HYPERLINK(".\links\SWISSP\TI-412-SWISSP.txt","Apolipoprotein D OS=Macaca fascicularis GN=APOD PE=2 SV=1")</f>
        <v>Apolipoprotein D OS=Macaca fascicularis GN=APOD PE=2 SV=1</v>
      </c>
      <c r="AL242" s="6" t="str">
        <f>HYPERLINK("http://www.uniprot.org/uniprot/Q8SPI0","4E-005")</f>
        <v>4E-005</v>
      </c>
      <c r="AM242" s="6" t="s">
        <v>219</v>
      </c>
      <c r="AN242" s="6">
        <v>48.1</v>
      </c>
      <c r="AO242" s="6">
        <v>163</v>
      </c>
      <c r="AP242" s="6">
        <v>189</v>
      </c>
      <c r="AQ242" s="6">
        <v>29</v>
      </c>
      <c r="AR242" s="6">
        <v>87</v>
      </c>
      <c r="AS242" s="6">
        <v>125</v>
      </c>
      <c r="AT242" s="6">
        <v>20</v>
      </c>
      <c r="AU242" s="6">
        <v>23</v>
      </c>
      <c r="AV242" s="6">
        <v>31</v>
      </c>
      <c r="AW242" s="6">
        <v>1</v>
      </c>
      <c r="AX242" s="6" t="s">
        <v>220</v>
      </c>
      <c r="AY242" s="6" t="str">
        <f>HYPERLINK(".\links\PREV-RHOD-PEP\TI-412-PREV-RHOD-PEP.txt","Contig17512_3")</f>
        <v>Contig17512_3</v>
      </c>
      <c r="AZ242" s="8">
        <v>5.9999999999999997E-75</v>
      </c>
      <c r="BA242" s="6" t="s">
        <v>1133</v>
      </c>
      <c r="BB242" s="6">
        <v>276</v>
      </c>
      <c r="BC242" s="6">
        <v>195</v>
      </c>
      <c r="BD242" s="6">
        <v>206</v>
      </c>
      <c r="BE242" s="6">
        <v>64</v>
      </c>
      <c r="BF242" s="6">
        <v>95</v>
      </c>
      <c r="BG242" s="6">
        <v>70</v>
      </c>
      <c r="BH242" s="6">
        <v>3</v>
      </c>
      <c r="BI242" s="6">
        <v>11</v>
      </c>
      <c r="BJ242" s="6">
        <v>10</v>
      </c>
      <c r="BK242" s="6">
        <v>1</v>
      </c>
      <c r="BL242" s="6" t="s">
        <v>880</v>
      </c>
      <c r="BM242" s="6">
        <f>HYPERLINK(".\links\GO\TI-412-GO.txt",0.0002)</f>
        <v>2.0000000000000001E-4</v>
      </c>
      <c r="BN242" s="6" t="s">
        <v>340</v>
      </c>
      <c r="BO242" s="6" t="s">
        <v>340</v>
      </c>
      <c r="BP242" s="6"/>
      <c r="BQ242" s="6" t="s">
        <v>881</v>
      </c>
      <c r="BR242" s="6">
        <v>2.0000000000000001E-4</v>
      </c>
      <c r="BS242" s="6" t="s">
        <v>861</v>
      </c>
      <c r="BT242" s="6" t="s">
        <v>501</v>
      </c>
      <c r="BU242" s="6" t="s">
        <v>752</v>
      </c>
      <c r="BV242" s="6" t="s">
        <v>862</v>
      </c>
      <c r="BW242" s="6">
        <v>2.0000000000000001E-4</v>
      </c>
      <c r="BX242" s="6" t="s">
        <v>628</v>
      </c>
      <c r="BY242" s="6" t="s">
        <v>340</v>
      </c>
      <c r="BZ242" s="6"/>
      <c r="CA242" s="6" t="s">
        <v>629</v>
      </c>
      <c r="CB242" s="6">
        <v>2.0000000000000001E-4</v>
      </c>
      <c r="CC242" s="6" t="s">
        <v>8</v>
      </c>
      <c r="CD242" s="6"/>
      <c r="CE242" s="6"/>
      <c r="CF242" s="6" t="s">
        <v>8</v>
      </c>
      <c r="CG242" s="6"/>
      <c r="CH242" s="6"/>
      <c r="CI242" s="6" t="s">
        <v>8</v>
      </c>
      <c r="CJ242" s="6"/>
      <c r="CK242" s="6" t="s">
        <v>8</v>
      </c>
      <c r="CL242" s="6"/>
      <c r="CM242" s="6" t="s">
        <v>8</v>
      </c>
      <c r="CN242" s="6"/>
      <c r="CO242" s="6" t="s">
        <v>8</v>
      </c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 t="s">
        <v>8</v>
      </c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</row>
    <row r="243" spans="1:120" s="4" customFormat="1">
      <c r="A243" s="6" t="str">
        <f>HYPERLINK(".\links\pep\TI-414-pep.txt","TI-414")</f>
        <v>TI-414</v>
      </c>
      <c r="B243" s="6">
        <v>414</v>
      </c>
      <c r="C243" s="6" t="s">
        <v>13</v>
      </c>
      <c r="D243" s="6">
        <v>148</v>
      </c>
      <c r="E243" s="6">
        <v>0</v>
      </c>
      <c r="F243" s="6" t="str">
        <f>HYPERLINK(".\links\cds\TI-414-cds.txt","TI-414")</f>
        <v>TI-414</v>
      </c>
      <c r="G243" s="6">
        <v>441</v>
      </c>
      <c r="H243" s="6"/>
      <c r="I243" s="6" t="s">
        <v>8</v>
      </c>
      <c r="J243" s="6" t="s">
        <v>8</v>
      </c>
      <c r="K243" s="6">
        <v>1</v>
      </c>
      <c r="L243" s="6">
        <v>0</v>
      </c>
      <c r="M243" s="6">
        <f t="shared" si="14"/>
        <v>1</v>
      </c>
      <c r="N243" s="6">
        <f t="shared" si="15"/>
        <v>1</v>
      </c>
      <c r="O243" s="6" t="s">
        <v>1170</v>
      </c>
      <c r="P243" s="6" t="s">
        <v>1171</v>
      </c>
      <c r="Q243" s="6"/>
      <c r="R243" s="6"/>
      <c r="S243" s="6"/>
      <c r="T243" s="6" t="str">
        <f>HYPERLINK(".\links\NR-LIGHT\TI-414-NR-LIGHT.txt","similar to CG4404 CG4404-PA")</f>
        <v>similar to CG4404 CG4404-PA</v>
      </c>
      <c r="U243" s="6" t="str">
        <f>HYPERLINK("http://www.ncbi.nlm.nih.gov/sutils/blink.cgi?pid=198424403","1E-007")</f>
        <v>1E-007</v>
      </c>
      <c r="V243" s="6" t="str">
        <f>HYPERLINK("http://www.ncbi.nlm.nih.gov/protein/198424403","gi|198424403")</f>
        <v>gi|198424403</v>
      </c>
      <c r="W243" s="6">
        <v>57.8</v>
      </c>
      <c r="X243" s="6">
        <v>112</v>
      </c>
      <c r="Y243" s="6">
        <v>294</v>
      </c>
      <c r="Z243" s="6">
        <v>27</v>
      </c>
      <c r="AA243" s="6">
        <v>38</v>
      </c>
      <c r="AB243" s="6">
        <v>88</v>
      </c>
      <c r="AC243" s="6">
        <v>8</v>
      </c>
      <c r="AD243" s="6">
        <v>12</v>
      </c>
      <c r="AE243" s="6">
        <v>16</v>
      </c>
      <c r="AF243" s="6">
        <v>1</v>
      </c>
      <c r="AG243" s="6"/>
      <c r="AH243" s="6" t="s">
        <v>13</v>
      </c>
      <c r="AI243" s="6" t="s">
        <v>51</v>
      </c>
      <c r="AJ243" s="6" t="s">
        <v>287</v>
      </c>
      <c r="AK243" s="6" t="str">
        <f>HYPERLINK(".\links\SWISSP\TI-414-SWISSP.txt","Transcription factor Adf-1 OS=Drosophila melanogaster GN=Adf1 PE=1 SV=2")</f>
        <v>Transcription factor Adf-1 OS=Drosophila melanogaster GN=Adf1 PE=1 SV=2</v>
      </c>
      <c r="AL243" s="6" t="str">
        <f>HYPERLINK("http://www.uniprot.org/uniprot/P05552","0.001")</f>
        <v>0.001</v>
      </c>
      <c r="AM243" s="6" t="s">
        <v>221</v>
      </c>
      <c r="AN243" s="6">
        <v>42.4</v>
      </c>
      <c r="AO243" s="6">
        <v>87</v>
      </c>
      <c r="AP243" s="6">
        <v>262</v>
      </c>
      <c r="AQ243" s="6">
        <v>22</v>
      </c>
      <c r="AR243" s="6">
        <v>34</v>
      </c>
      <c r="AS243" s="6">
        <v>84</v>
      </c>
      <c r="AT243" s="6">
        <v>21</v>
      </c>
      <c r="AU243" s="6">
        <v>25</v>
      </c>
      <c r="AV243" s="6">
        <v>16</v>
      </c>
      <c r="AW243" s="6">
        <v>1</v>
      </c>
      <c r="AX243" s="6" t="s">
        <v>52</v>
      </c>
      <c r="AY243" s="6" t="str">
        <f>HYPERLINK(".\links\PREV-RHOD-PEP\TI-414-PREV-RHOD-PEP.txt","Contig2539_5")</f>
        <v>Contig2539_5</v>
      </c>
      <c r="AZ243" s="8">
        <v>1.9999999999999999E-77</v>
      </c>
      <c r="BA243" s="6" t="s">
        <v>1134</v>
      </c>
      <c r="BB243" s="6">
        <v>283</v>
      </c>
      <c r="BC243" s="6">
        <v>145</v>
      </c>
      <c r="BD243" s="6">
        <v>219</v>
      </c>
      <c r="BE243" s="6">
        <v>91</v>
      </c>
      <c r="BF243" s="6">
        <v>67</v>
      </c>
      <c r="BG243" s="6">
        <v>12</v>
      </c>
      <c r="BH243" s="6">
        <v>0</v>
      </c>
      <c r="BI243" s="6">
        <v>1</v>
      </c>
      <c r="BJ243" s="6">
        <v>3</v>
      </c>
      <c r="BK243" s="6">
        <v>1</v>
      </c>
      <c r="BL243" s="6" t="s">
        <v>882</v>
      </c>
      <c r="BM243" s="6">
        <f>HYPERLINK(".\links\GO\TI-414-GO.txt",0.000006)</f>
        <v>6.0000000000000002E-6</v>
      </c>
      <c r="BN243" s="6" t="s">
        <v>883</v>
      </c>
      <c r="BO243" s="6" t="s">
        <v>683</v>
      </c>
      <c r="BP243" s="6" t="s">
        <v>836</v>
      </c>
      <c r="BQ243" s="6" t="s">
        <v>884</v>
      </c>
      <c r="BR243" s="6">
        <v>2.9999999999999997E-4</v>
      </c>
      <c r="BS243" s="6" t="s">
        <v>447</v>
      </c>
      <c r="BT243" s="6" t="s">
        <v>323</v>
      </c>
      <c r="BU243" s="6" t="s">
        <v>334</v>
      </c>
      <c r="BV243" s="6" t="s">
        <v>448</v>
      </c>
      <c r="BW243" s="6">
        <v>2.9999999999999997E-4</v>
      </c>
      <c r="BX243" s="6" t="s">
        <v>838</v>
      </c>
      <c r="BY243" s="6" t="s">
        <v>683</v>
      </c>
      <c r="BZ243" s="6" t="s">
        <v>836</v>
      </c>
      <c r="CA243" s="6" t="s">
        <v>839</v>
      </c>
      <c r="CB243" s="6">
        <v>2.9999999999999997E-4</v>
      </c>
      <c r="CC243" s="6" t="s">
        <v>8</v>
      </c>
      <c r="CD243" s="6"/>
      <c r="CE243" s="6"/>
      <c r="CF243" s="6" t="s">
        <v>8</v>
      </c>
      <c r="CG243" s="6"/>
      <c r="CH243" s="6"/>
      <c r="CI243" s="6" t="s">
        <v>8</v>
      </c>
      <c r="CJ243" s="6"/>
      <c r="CK243" s="6" t="s">
        <v>8</v>
      </c>
      <c r="CL243" s="6"/>
      <c r="CM243" s="6" t="s">
        <v>8</v>
      </c>
      <c r="CN243" s="6"/>
      <c r="CO243" s="6" t="s">
        <v>8</v>
      </c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 t="s">
        <v>8</v>
      </c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</row>
    <row r="244" spans="1:120" s="4" customFormat="1">
      <c r="A244" s="6" t="str">
        <f>HYPERLINK(".\links\pep\TI-415-pep.txt","TI-415")</f>
        <v>TI-415</v>
      </c>
      <c r="B244" s="6">
        <v>415</v>
      </c>
      <c r="C244" s="6" t="s">
        <v>10</v>
      </c>
      <c r="D244" s="6">
        <v>79</v>
      </c>
      <c r="E244" s="6">
        <v>0</v>
      </c>
      <c r="F244" s="6" t="str">
        <f>HYPERLINK(".\links\cds\TI-415-cds.txt","TI-415")</f>
        <v>TI-415</v>
      </c>
      <c r="G244" s="6">
        <v>240</v>
      </c>
      <c r="H244" s="6"/>
      <c r="I244" s="6" t="s">
        <v>8</v>
      </c>
      <c r="J244" s="6" t="s">
        <v>6</v>
      </c>
      <c r="K244" s="6">
        <v>1</v>
      </c>
      <c r="L244" s="6">
        <v>0</v>
      </c>
      <c r="M244" s="6">
        <f t="shared" si="14"/>
        <v>1</v>
      </c>
      <c r="N244" s="6">
        <f t="shared" si="15"/>
        <v>1</v>
      </c>
      <c r="O244" s="6" t="s">
        <v>1170</v>
      </c>
      <c r="P244" s="6" t="s">
        <v>1171</v>
      </c>
      <c r="Q244" s="6"/>
      <c r="R244" s="6"/>
      <c r="S244" s="6"/>
      <c r="T244" s="6" t="str">
        <f>HYPERLINK(".\links\NR-LIGHT\TI-415-NR-LIGHT.txt","conserved hypothetical protein")</f>
        <v>conserved hypothetical protein</v>
      </c>
      <c r="U244" s="6" t="str">
        <f>HYPERLINK("http://www.ncbi.nlm.nih.gov/sutils/blink.cgi?pid=307332814","0.36")</f>
        <v>0.36</v>
      </c>
      <c r="V244" s="6" t="str">
        <f>HYPERLINK("http://www.ncbi.nlm.nih.gov/protein/307332814","gi|307332814")</f>
        <v>gi|307332814</v>
      </c>
      <c r="W244" s="6">
        <v>35.799999999999997</v>
      </c>
      <c r="X244" s="6">
        <v>38</v>
      </c>
      <c r="Y244" s="6">
        <v>220</v>
      </c>
      <c r="Z244" s="6">
        <v>51</v>
      </c>
      <c r="AA244" s="6">
        <v>18</v>
      </c>
      <c r="AB244" s="6">
        <v>19</v>
      </c>
      <c r="AC244" s="6">
        <v>0</v>
      </c>
      <c r="AD244" s="6">
        <v>168</v>
      </c>
      <c r="AE244" s="6">
        <v>32</v>
      </c>
      <c r="AF244" s="6">
        <v>1</v>
      </c>
      <c r="AG244" s="6"/>
      <c r="AH244" s="6" t="s">
        <v>13</v>
      </c>
      <c r="AI244" s="6" t="s">
        <v>51</v>
      </c>
      <c r="AJ244" s="6" t="s">
        <v>298</v>
      </c>
      <c r="AK244" s="6" t="s">
        <v>8</v>
      </c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 t="s">
        <v>8</v>
      </c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 t="s">
        <v>8</v>
      </c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 t="s">
        <v>8</v>
      </c>
      <c r="CD244" s="6"/>
      <c r="CE244" s="6"/>
      <c r="CF244" s="6" t="s">
        <v>8</v>
      </c>
      <c r="CG244" s="6"/>
      <c r="CH244" s="6"/>
      <c r="CI244" s="6" t="s">
        <v>8</v>
      </c>
      <c r="CJ244" s="6"/>
      <c r="CK244" s="6" t="s">
        <v>8</v>
      </c>
      <c r="CL244" s="6"/>
      <c r="CM244" s="6" t="s">
        <v>8</v>
      </c>
      <c r="CN244" s="6"/>
      <c r="CO244" s="6" t="s">
        <v>8</v>
      </c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 t="str">
        <f>HYPERLINK(".\links\RRNA\TI-415-RRNA.txt","E.coli 23S rRNA")</f>
        <v>E.coli 23S rRNA</v>
      </c>
      <c r="DD244" s="6" t="str">
        <f>HYPERLINK("http://www.ncbi.nlm.nih.gov/entrez/viewer.fcgi?db=nucleotide&amp;val=174368","6E-057")</f>
        <v>6E-057</v>
      </c>
      <c r="DE244" s="6" t="str">
        <f>HYPERLINK("http://www.ncbi.nlm.nih.gov/entrez/viewer.fcgi?db=nucleotide&amp;val=174368","gi|174368")</f>
        <v>gi|174368</v>
      </c>
      <c r="DF244" s="6">
        <v>218</v>
      </c>
      <c r="DG244" s="6">
        <v>211</v>
      </c>
      <c r="DH244" s="6">
        <v>542</v>
      </c>
      <c r="DI244" s="6">
        <v>89</v>
      </c>
      <c r="DJ244" s="6">
        <v>39</v>
      </c>
      <c r="DK244" s="6">
        <v>23</v>
      </c>
      <c r="DL244" s="6">
        <v>4</v>
      </c>
      <c r="DM244" s="6">
        <v>12</v>
      </c>
      <c r="DN244" s="6">
        <v>1</v>
      </c>
      <c r="DO244" s="6">
        <v>1</v>
      </c>
      <c r="DP244" s="6" t="s">
        <v>981</v>
      </c>
    </row>
    <row r="245" spans="1:120" s="4" customFormat="1">
      <c r="A245" s="6" t="str">
        <f>HYPERLINK(".\links\pep\TI-416-pep.txt","TI-416")</f>
        <v>TI-416</v>
      </c>
      <c r="B245" s="6">
        <v>416</v>
      </c>
      <c r="C245" s="6" t="s">
        <v>22</v>
      </c>
      <c r="D245" s="6">
        <v>30</v>
      </c>
      <c r="E245" s="6">
        <v>0</v>
      </c>
      <c r="F245" s="6" t="str">
        <f>HYPERLINK(".\links\cds\TI-416-cds.txt","TI-416")</f>
        <v>TI-416</v>
      </c>
      <c r="G245" s="6">
        <v>93</v>
      </c>
      <c r="H245" s="6"/>
      <c r="I245" s="6" t="s">
        <v>8</v>
      </c>
      <c r="J245" s="6" t="s">
        <v>6</v>
      </c>
      <c r="K245" s="6">
        <v>1</v>
      </c>
      <c r="L245" s="6">
        <v>0</v>
      </c>
      <c r="M245" s="6">
        <f t="shared" si="14"/>
        <v>1</v>
      </c>
      <c r="N245" s="6">
        <f t="shared" si="15"/>
        <v>1</v>
      </c>
      <c r="O245" s="6" t="s">
        <v>1170</v>
      </c>
      <c r="P245" s="6" t="s">
        <v>1171</v>
      </c>
      <c r="Q245" s="6"/>
      <c r="R245" s="6"/>
      <c r="S245" s="6"/>
      <c r="T245" s="6" t="s">
        <v>8</v>
      </c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 t="s">
        <v>8</v>
      </c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 t="s">
        <v>8</v>
      </c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 t="s">
        <v>8</v>
      </c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 t="s">
        <v>8</v>
      </c>
      <c r="CD245" s="6"/>
      <c r="CE245" s="6"/>
      <c r="CF245" s="6" t="s">
        <v>8</v>
      </c>
      <c r="CG245" s="6"/>
      <c r="CH245" s="6"/>
      <c r="CI245" s="6" t="s">
        <v>8</v>
      </c>
      <c r="CJ245" s="6"/>
      <c r="CK245" s="6" t="s">
        <v>8</v>
      </c>
      <c r="CL245" s="6"/>
      <c r="CM245" s="6" t="s">
        <v>8</v>
      </c>
      <c r="CN245" s="6"/>
      <c r="CO245" s="6" t="s">
        <v>8</v>
      </c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 t="s">
        <v>8</v>
      </c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</row>
    <row r="246" spans="1:120" s="4" customFormat="1">
      <c r="A246" t="str">
        <f>HYPERLINK(".\links\pep\TI-417-pep.txt","TI-417")</f>
        <v>TI-417</v>
      </c>
      <c r="B246">
        <v>417</v>
      </c>
      <c r="C246" t="s">
        <v>7</v>
      </c>
      <c r="D246">
        <v>159</v>
      </c>
      <c r="E246">
        <v>0</v>
      </c>
      <c r="F246" t="str">
        <f>HYPERLINK(".\links\cds\TI-417-cds.txt","TI-417")</f>
        <v>TI-417</v>
      </c>
      <c r="G246">
        <v>480</v>
      </c>
      <c r="H246"/>
      <c r="I246" t="s">
        <v>29</v>
      </c>
      <c r="J246" t="s">
        <v>6</v>
      </c>
      <c r="K246">
        <v>0</v>
      </c>
      <c r="L246">
        <v>2</v>
      </c>
      <c r="M246">
        <f t="shared" si="14"/>
        <v>-2</v>
      </c>
      <c r="N246">
        <f t="shared" si="15"/>
        <v>2</v>
      </c>
      <c r="O246" t="s">
        <v>1330</v>
      </c>
      <c r="P246" t="s">
        <v>1190</v>
      </c>
      <c r="Q246" t="str">
        <f>HYPERLINK(".\links\GO\TI-417-GO.txt","GO")</f>
        <v>GO</v>
      </c>
      <c r="R246" s="3">
        <v>9.9999999999999991E-22</v>
      </c>
      <c r="S246">
        <v>51</v>
      </c>
      <c r="T246" t="str">
        <f>HYPERLINK(".\links\NR-LIGHT\TI-417-NR-LIGHT.txt","AGAP002385-PA")</f>
        <v>AGAP002385-PA</v>
      </c>
      <c r="U246" t="str">
        <f>HYPERLINK("http://www.ncbi.nlm.nih.gov/sutils/blink.cgi?pid=58383485","5E-058")</f>
        <v>5E-058</v>
      </c>
      <c r="V246" t="str">
        <f>HYPERLINK("http://www.ncbi.nlm.nih.gov/protein/58383485","gi|58383485")</f>
        <v>gi|58383485</v>
      </c>
      <c r="W246">
        <v>224</v>
      </c>
      <c r="X246">
        <v>141</v>
      </c>
      <c r="Y246">
        <v>154</v>
      </c>
      <c r="Z246">
        <v>70</v>
      </c>
      <c r="AA246">
        <v>92</v>
      </c>
      <c r="AB246">
        <v>42</v>
      </c>
      <c r="AC246">
        <v>0</v>
      </c>
      <c r="AD246">
        <v>12</v>
      </c>
      <c r="AE246">
        <v>17</v>
      </c>
      <c r="AF246">
        <v>1</v>
      </c>
      <c r="AG246"/>
      <c r="AH246" t="s">
        <v>13</v>
      </c>
      <c r="AI246" t="s">
        <v>51</v>
      </c>
      <c r="AJ246" t="s">
        <v>275</v>
      </c>
      <c r="AK246" t="str">
        <f>HYPERLINK(".\links\SWISSP\TI-417-SWISSP.txt","Trafficking protein particle complex subunit 6B OS=Homo sapiens GN=TRAPPC6B PE=1")</f>
        <v>Trafficking protein particle complex subunit 6B OS=Homo sapiens GN=TRAPPC6B PE=1</v>
      </c>
      <c r="AL246" t="str">
        <f>HYPERLINK("http://www.uniprot.org/uniprot/Q86SZ2","3E-042")</f>
        <v>3E-042</v>
      </c>
      <c r="AM246" t="s">
        <v>222</v>
      </c>
      <c r="AN246">
        <v>170</v>
      </c>
      <c r="AO246">
        <v>124</v>
      </c>
      <c r="AP246">
        <v>158</v>
      </c>
      <c r="AQ246">
        <v>59</v>
      </c>
      <c r="AR246">
        <v>79</v>
      </c>
      <c r="AS246">
        <v>51</v>
      </c>
      <c r="AT246">
        <v>0</v>
      </c>
      <c r="AU246">
        <v>33</v>
      </c>
      <c r="AV246">
        <v>34</v>
      </c>
      <c r="AW246">
        <v>1</v>
      </c>
      <c r="AX246" t="s">
        <v>68</v>
      </c>
      <c r="AY246" t="s">
        <v>8</v>
      </c>
      <c r="AZ246"/>
      <c r="BA246"/>
      <c r="BB246"/>
      <c r="BC246"/>
      <c r="BD246"/>
      <c r="BE246"/>
      <c r="BF246"/>
      <c r="BG246"/>
      <c r="BH246"/>
      <c r="BI246"/>
      <c r="BJ246"/>
      <c r="BK246"/>
      <c r="BL246" t="s">
        <v>885</v>
      </c>
      <c r="BM246">
        <f>HYPERLINK(".\links\GO\TI-417-GO.txt",1E-21)</f>
        <v>9.9999999999999991E-22</v>
      </c>
      <c r="BN246" t="s">
        <v>373</v>
      </c>
      <c r="BO246" t="s">
        <v>373</v>
      </c>
      <c r="BP246"/>
      <c r="BQ246" t="s">
        <v>374</v>
      </c>
      <c r="BR246" s="3">
        <v>9.9999999999999991E-22</v>
      </c>
      <c r="BS246" t="s">
        <v>886</v>
      </c>
      <c r="BT246" t="s">
        <v>477</v>
      </c>
      <c r="BU246" t="s">
        <v>477</v>
      </c>
      <c r="BV246" t="s">
        <v>887</v>
      </c>
      <c r="BW246" s="3">
        <v>9.9999999999999991E-22</v>
      </c>
      <c r="BX246" t="s">
        <v>769</v>
      </c>
      <c r="BY246" t="s">
        <v>373</v>
      </c>
      <c r="BZ246"/>
      <c r="CA246" t="s">
        <v>770</v>
      </c>
      <c r="CB246" s="3">
        <v>9.9999999999999991E-22</v>
      </c>
      <c r="CC246" t="s">
        <v>8</v>
      </c>
      <c r="CD246"/>
      <c r="CE246"/>
      <c r="CF246" t="s">
        <v>8</v>
      </c>
      <c r="CG246"/>
      <c r="CH246"/>
      <c r="CI246" t="s">
        <v>8</v>
      </c>
      <c r="CJ246"/>
      <c r="CK246" t="s">
        <v>8</v>
      </c>
      <c r="CL246"/>
      <c r="CM246" t="s">
        <v>8</v>
      </c>
      <c r="CN246"/>
      <c r="CO246" t="s">
        <v>8</v>
      </c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 t="s">
        <v>8</v>
      </c>
      <c r="DD246"/>
      <c r="DE246"/>
      <c r="DF246"/>
      <c r="DG246"/>
      <c r="DH246"/>
      <c r="DI246"/>
      <c r="DJ246"/>
      <c r="DK246"/>
      <c r="DL246"/>
      <c r="DM246"/>
      <c r="DN246"/>
      <c r="DO246"/>
      <c r="DP246"/>
    </row>
    <row r="247" spans="1:120" s="4" customFormat="1">
      <c r="A247" t="str">
        <f>HYPERLINK(".\links\pep\TI-418-pep.txt","TI-418")</f>
        <v>TI-418</v>
      </c>
      <c r="B247">
        <v>418</v>
      </c>
      <c r="C247" t="s">
        <v>18</v>
      </c>
      <c r="D247">
        <v>206</v>
      </c>
      <c r="E247" s="2">
        <v>2.9126210000000001</v>
      </c>
      <c r="F247" t="str">
        <f>HYPERLINK(".\links\cds\TI-418-cds.txt","TI-418")</f>
        <v>TI-418</v>
      </c>
      <c r="G247">
        <v>617</v>
      </c>
      <c r="H247"/>
      <c r="I247" t="s">
        <v>8</v>
      </c>
      <c r="J247" t="s">
        <v>8</v>
      </c>
      <c r="K247">
        <v>0</v>
      </c>
      <c r="L247">
        <v>2</v>
      </c>
      <c r="M247">
        <f t="shared" si="14"/>
        <v>-2</v>
      </c>
      <c r="N247">
        <f t="shared" si="15"/>
        <v>2</v>
      </c>
      <c r="O247" t="s">
        <v>1212</v>
      </c>
      <c r="P247" t="s">
        <v>1169</v>
      </c>
      <c r="Q247" t="str">
        <f>HYPERLINK(".\links\NR-LIGHT\TI-418-NR-LIGHT.txt","NR-LIGHT")</f>
        <v>NR-LIGHT</v>
      </c>
      <c r="R247">
        <v>0</v>
      </c>
      <c r="S247">
        <v>64</v>
      </c>
      <c r="T247" t="str">
        <f>HYPERLINK(".\links\NR-LIGHT\TI-418-NR-LIGHT.txt","60S acidic ribosomal protein P0")</f>
        <v>60S acidic ribosomal protein P0</v>
      </c>
      <c r="U247" t="str">
        <f>HYPERLINK("http://www.ncbi.nlm.nih.gov/sutils/blink.cgi?pid=263173401","1E-101")</f>
        <v>1E-101</v>
      </c>
      <c r="V247" t="str">
        <f>HYPERLINK("http://www.ncbi.nlm.nih.gov/protein/263173401","gi|263173401")</f>
        <v>gi|263173401</v>
      </c>
      <c r="W247">
        <v>371</v>
      </c>
      <c r="X247">
        <v>204</v>
      </c>
      <c r="Y247">
        <v>320</v>
      </c>
      <c r="Z247">
        <v>88</v>
      </c>
      <c r="AA247">
        <v>64</v>
      </c>
      <c r="AB247">
        <v>24</v>
      </c>
      <c r="AC247">
        <v>0</v>
      </c>
      <c r="AD247">
        <v>15</v>
      </c>
      <c r="AE247">
        <v>1</v>
      </c>
      <c r="AF247">
        <v>1</v>
      </c>
      <c r="AG247"/>
      <c r="AH247" t="s">
        <v>13</v>
      </c>
      <c r="AI247" t="s">
        <v>51</v>
      </c>
      <c r="AJ247" t="s">
        <v>280</v>
      </c>
      <c r="AK247" t="str">
        <f>HYPERLINK(".\links\SWISSP\TI-418-SWISSP.txt","60S acidic ribosomal protein P0 OS=Ceratitis capitata GN=RpLP0 PE=3 SV=1")</f>
        <v>60S acidic ribosomal protein P0 OS=Ceratitis capitata GN=RpLP0 PE=3 SV=1</v>
      </c>
      <c r="AL247" t="str">
        <f>HYPERLINK("http://www.uniprot.org/uniprot/Q9U3U0","1E-089")</f>
        <v>1E-089</v>
      </c>
      <c r="AM247" t="s">
        <v>90</v>
      </c>
      <c r="AN247">
        <v>328</v>
      </c>
      <c r="AO247">
        <v>202</v>
      </c>
      <c r="AP247">
        <v>317</v>
      </c>
      <c r="AQ247">
        <v>79</v>
      </c>
      <c r="AR247">
        <v>64</v>
      </c>
      <c r="AS247">
        <v>42</v>
      </c>
      <c r="AT247">
        <v>0</v>
      </c>
      <c r="AU247">
        <v>16</v>
      </c>
      <c r="AV247">
        <v>2</v>
      </c>
      <c r="AW247">
        <v>1</v>
      </c>
      <c r="AX247" t="s">
        <v>91</v>
      </c>
      <c r="AY247" t="str">
        <f>HYPERLINK(".\links\PREV-RHOD-PEP\TI-418-PREV-RHOD-PEP.txt","Contig4545_2")</f>
        <v>Contig4545_2</v>
      </c>
      <c r="AZ247" s="3">
        <v>9.9999999999999994E-107</v>
      </c>
      <c r="BA247" t="s">
        <v>984</v>
      </c>
      <c r="BB247">
        <v>380</v>
      </c>
      <c r="BC247">
        <v>211</v>
      </c>
      <c r="BD247">
        <v>728</v>
      </c>
      <c r="BE247">
        <v>90</v>
      </c>
      <c r="BF247">
        <v>29</v>
      </c>
      <c r="BG247">
        <v>21</v>
      </c>
      <c r="BH247">
        <v>7</v>
      </c>
      <c r="BI247">
        <v>422</v>
      </c>
      <c r="BJ247">
        <v>1</v>
      </c>
      <c r="BK247">
        <v>1</v>
      </c>
      <c r="BL247" t="s">
        <v>328</v>
      </c>
      <c r="BM247">
        <f>HYPERLINK(".\links\GO\TI-418-GO.txt",2E-88)</f>
        <v>1.9999999999999999E-88</v>
      </c>
      <c r="BN247" t="s">
        <v>329</v>
      </c>
      <c r="BO247" t="s">
        <v>330</v>
      </c>
      <c r="BP247" t="s">
        <v>331</v>
      </c>
      <c r="BQ247" t="s">
        <v>332</v>
      </c>
      <c r="BR247" s="3">
        <v>1.9999999999999999E-88</v>
      </c>
      <c r="BS247" t="s">
        <v>333</v>
      </c>
      <c r="BT247" t="s">
        <v>323</v>
      </c>
      <c r="BU247" t="s">
        <v>334</v>
      </c>
      <c r="BV247" t="s">
        <v>335</v>
      </c>
      <c r="BW247" s="3">
        <v>1.9999999999999999E-88</v>
      </c>
      <c r="BX247" t="s">
        <v>336</v>
      </c>
      <c r="BY247" t="s">
        <v>330</v>
      </c>
      <c r="BZ247" t="s">
        <v>331</v>
      </c>
      <c r="CA247" t="s">
        <v>337</v>
      </c>
      <c r="CB247" s="3">
        <v>1.9999999999999999E-88</v>
      </c>
      <c r="CC247" t="s">
        <v>8</v>
      </c>
      <c r="CD247"/>
      <c r="CE247"/>
      <c r="CF247" t="s">
        <v>8</v>
      </c>
      <c r="CG247"/>
      <c r="CH247"/>
      <c r="CI247" t="s">
        <v>8</v>
      </c>
      <c r="CJ247"/>
      <c r="CK247" t="s">
        <v>8</v>
      </c>
      <c r="CL247"/>
      <c r="CM247" t="s">
        <v>8</v>
      </c>
      <c r="CN247"/>
      <c r="CO247" t="s">
        <v>8</v>
      </c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 t="s">
        <v>8</v>
      </c>
      <c r="DD247"/>
      <c r="DE247"/>
      <c r="DF247"/>
      <c r="DG247"/>
      <c r="DH247"/>
      <c r="DI247"/>
      <c r="DJ247"/>
      <c r="DK247"/>
      <c r="DL247"/>
      <c r="DM247"/>
      <c r="DN247"/>
      <c r="DO247"/>
      <c r="DP247"/>
    </row>
    <row r="248" spans="1:120" s="4" customFormat="1">
      <c r="A248" s="6" t="str">
        <f>HYPERLINK(".\links\pep\TI-419-pep.txt","TI-419")</f>
        <v>TI-419</v>
      </c>
      <c r="B248" s="6">
        <v>419</v>
      </c>
      <c r="C248" s="6" t="s">
        <v>16</v>
      </c>
      <c r="D248" s="6">
        <v>40</v>
      </c>
      <c r="E248" s="6">
        <v>0</v>
      </c>
      <c r="F248" s="6" t="str">
        <f>HYPERLINK(".\links\cds\TI-419-cds.txt","TI-419")</f>
        <v>TI-419</v>
      </c>
      <c r="G248" s="6">
        <v>123</v>
      </c>
      <c r="H248" s="6"/>
      <c r="I248" s="6" t="s">
        <v>8</v>
      </c>
      <c r="J248" s="6" t="s">
        <v>6</v>
      </c>
      <c r="K248" s="6">
        <v>0</v>
      </c>
      <c r="L248" s="6">
        <v>1</v>
      </c>
      <c r="M248" s="6">
        <f t="shared" si="14"/>
        <v>-1</v>
      </c>
      <c r="N248" s="6">
        <f t="shared" si="15"/>
        <v>1</v>
      </c>
      <c r="O248" s="6" t="s">
        <v>1170</v>
      </c>
      <c r="P248" s="6" t="s">
        <v>1171</v>
      </c>
      <c r="Q248" s="6"/>
      <c r="R248" s="6"/>
      <c r="S248" s="6"/>
      <c r="T248" s="6" t="str">
        <f>HYPERLINK(".\links\NR-LIGHT\TI-419-NR-LIGHT.txt","hypothetical protein TcasGA2_TC013920")</f>
        <v>hypothetical protein TcasGA2_TC013920</v>
      </c>
      <c r="U248" s="6" t="str">
        <f>HYPERLINK("http://www.ncbi.nlm.nih.gov/sutils/blink.cgi?pid=270007359","1.3")</f>
        <v>1.3</v>
      </c>
      <c r="V248" s="6" t="str">
        <f>HYPERLINK("http://www.ncbi.nlm.nih.gov/protein/270007359","gi|270007359")</f>
        <v>gi|270007359</v>
      </c>
      <c r="W248" s="6">
        <v>33.9</v>
      </c>
      <c r="X248" s="6">
        <v>19</v>
      </c>
      <c r="Y248" s="6">
        <v>229</v>
      </c>
      <c r="Z248" s="6">
        <v>65</v>
      </c>
      <c r="AA248" s="6">
        <v>9</v>
      </c>
      <c r="AB248" s="6">
        <v>7</v>
      </c>
      <c r="AC248" s="6">
        <v>0</v>
      </c>
      <c r="AD248" s="6">
        <v>142</v>
      </c>
      <c r="AE248" s="6">
        <v>1</v>
      </c>
      <c r="AF248" s="6">
        <v>1</v>
      </c>
      <c r="AG248" s="6"/>
      <c r="AH248" s="6" t="s">
        <v>13</v>
      </c>
      <c r="AI248" s="6" t="s">
        <v>51</v>
      </c>
      <c r="AJ248" s="6" t="s">
        <v>266</v>
      </c>
      <c r="AK248" s="6" t="s">
        <v>8</v>
      </c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 t="str">
        <f>HYPERLINK(".\links\PREV-RHOD-PEP\TI-419-PREV-RHOD-PEP.txt","Contig17830_129")</f>
        <v>Contig17830_129</v>
      </c>
      <c r="AZ248" s="6">
        <v>4.0000000000000001E-3</v>
      </c>
      <c r="BA248" s="6" t="s">
        <v>1135</v>
      </c>
      <c r="BB248" s="6">
        <v>36.200000000000003</v>
      </c>
      <c r="BC248" s="6">
        <v>19</v>
      </c>
      <c r="BD248" s="6">
        <v>253</v>
      </c>
      <c r="BE248" s="6">
        <v>70</v>
      </c>
      <c r="BF248" s="6">
        <v>8</v>
      </c>
      <c r="BG248" s="6">
        <v>6</v>
      </c>
      <c r="BH248" s="6">
        <v>0</v>
      </c>
      <c r="BI248" s="6">
        <v>196</v>
      </c>
      <c r="BJ248" s="6">
        <v>1</v>
      </c>
      <c r="BK248" s="6">
        <v>1</v>
      </c>
      <c r="BL248" s="6" t="s">
        <v>8</v>
      </c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 t="s">
        <v>8</v>
      </c>
      <c r="CD248" s="6"/>
      <c r="CE248" s="6"/>
      <c r="CF248" s="6" t="s">
        <v>8</v>
      </c>
      <c r="CG248" s="6"/>
      <c r="CH248" s="6"/>
      <c r="CI248" s="6" t="s">
        <v>8</v>
      </c>
      <c r="CJ248" s="6"/>
      <c r="CK248" s="6" t="s">
        <v>8</v>
      </c>
      <c r="CL248" s="6"/>
      <c r="CM248" s="6" t="s">
        <v>8</v>
      </c>
      <c r="CN248" s="6"/>
      <c r="CO248" s="6" t="s">
        <v>8</v>
      </c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 t="s">
        <v>8</v>
      </c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</row>
    <row r="249" spans="1:120" s="4" customFormat="1">
      <c r="A249" s="6" t="str">
        <f>HYPERLINK(".\links\pep\TI-421-pep.txt","TI-421")</f>
        <v>TI-421</v>
      </c>
      <c r="B249" s="6">
        <v>421</v>
      </c>
      <c r="C249" s="6" t="s">
        <v>10</v>
      </c>
      <c r="D249" s="6">
        <v>11</v>
      </c>
      <c r="E249" s="6">
        <v>0</v>
      </c>
      <c r="F249" s="6" t="str">
        <f>HYPERLINK(".\links\cds\TI-421-cds.txt","TI-421")</f>
        <v>TI-421</v>
      </c>
      <c r="G249" s="6">
        <v>36</v>
      </c>
      <c r="H249" s="6"/>
      <c r="I249" s="6" t="s">
        <v>8</v>
      </c>
      <c r="J249" s="6" t="s">
        <v>6</v>
      </c>
      <c r="K249" s="6">
        <v>0</v>
      </c>
      <c r="L249" s="6">
        <v>1</v>
      </c>
      <c r="M249" s="6">
        <f t="shared" si="14"/>
        <v>-1</v>
      </c>
      <c r="N249" s="6">
        <f t="shared" si="15"/>
        <v>1</v>
      </c>
      <c r="O249" s="6" t="s">
        <v>1170</v>
      </c>
      <c r="P249" s="6" t="s">
        <v>1171</v>
      </c>
      <c r="Q249" s="6"/>
      <c r="R249" s="6"/>
      <c r="S249" s="6"/>
      <c r="T249" s="6" t="s">
        <v>8</v>
      </c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 t="s">
        <v>8</v>
      </c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 t="s">
        <v>8</v>
      </c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 t="s">
        <v>8</v>
      </c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 t="s">
        <v>8</v>
      </c>
      <c r="CD249" s="6"/>
      <c r="CE249" s="6"/>
      <c r="CF249" s="6" t="s">
        <v>8</v>
      </c>
      <c r="CG249" s="6"/>
      <c r="CH249" s="6"/>
      <c r="CI249" s="6" t="s">
        <v>8</v>
      </c>
      <c r="CJ249" s="6"/>
      <c r="CK249" s="6" t="s">
        <v>8</v>
      </c>
      <c r="CL249" s="6"/>
      <c r="CM249" s="6" t="s">
        <v>8</v>
      </c>
      <c r="CN249" s="6"/>
      <c r="CO249" s="6" t="s">
        <v>8</v>
      </c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 t="s">
        <v>8</v>
      </c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</row>
    <row r="250" spans="1:120" s="4" customFormat="1">
      <c r="A250" t="str">
        <f>HYPERLINK(".\links\pep\TI-422-pep.txt","TI-422")</f>
        <v>TI-422</v>
      </c>
      <c r="B250">
        <v>422</v>
      </c>
      <c r="C250" t="s">
        <v>10</v>
      </c>
      <c r="D250">
        <v>241</v>
      </c>
      <c r="E250">
        <v>0</v>
      </c>
      <c r="F250" t="str">
        <f>HYPERLINK(".\links\cds\TI-422-cds.txt","TI-422")</f>
        <v>TI-422</v>
      </c>
      <c r="G250">
        <v>726</v>
      </c>
      <c r="H250"/>
      <c r="I250" t="s">
        <v>8</v>
      </c>
      <c r="J250" t="s">
        <v>6</v>
      </c>
      <c r="K250">
        <v>0</v>
      </c>
      <c r="L250">
        <v>1</v>
      </c>
      <c r="M250">
        <f t="shared" si="14"/>
        <v>-1</v>
      </c>
      <c r="N250">
        <f t="shared" si="15"/>
        <v>1</v>
      </c>
      <c r="O250" t="s">
        <v>1195</v>
      </c>
      <c r="P250" t="s">
        <v>1196</v>
      </c>
      <c r="Q250" t="str">
        <f>HYPERLINK(".\links\NR-LIGHT\TI-422-NR-LIGHT.txt","NR-LIGHT")</f>
        <v>NR-LIGHT</v>
      </c>
      <c r="R250">
        <v>0</v>
      </c>
      <c r="S250">
        <v>13.4</v>
      </c>
      <c r="T250" t="str">
        <f>HYPERLINK(".\links\NR-LIGHT\TI-422-NR-LIGHT.txt","nonstructural protein precursor")</f>
        <v>nonstructural protein precursor</v>
      </c>
      <c r="U250" t="str">
        <f>HYPERLINK("http://www.ncbi.nlm.nih.gov/sutils/blink.cgi?pid=20451029","1E-122")</f>
        <v>1E-122</v>
      </c>
      <c r="V250" t="str">
        <f>HYPERLINK("http://www.ncbi.nlm.nih.gov/protein/20451029","gi|20451029")</f>
        <v>gi|20451029</v>
      </c>
      <c r="W250">
        <v>438</v>
      </c>
      <c r="X250">
        <v>240</v>
      </c>
      <c r="Y250">
        <v>1795</v>
      </c>
      <c r="Z250">
        <v>90</v>
      </c>
      <c r="AA250">
        <v>13</v>
      </c>
      <c r="AB250">
        <v>23</v>
      </c>
      <c r="AC250">
        <v>0</v>
      </c>
      <c r="AD250">
        <v>408</v>
      </c>
      <c r="AE250">
        <v>1</v>
      </c>
      <c r="AF250">
        <v>1</v>
      </c>
      <c r="AG250"/>
      <c r="AH250" t="s">
        <v>13</v>
      </c>
      <c r="AI250" t="s">
        <v>51</v>
      </c>
      <c r="AJ250" t="s">
        <v>269</v>
      </c>
      <c r="AK250" t="s">
        <v>8</v>
      </c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 t="s">
        <v>8</v>
      </c>
      <c r="AZ250"/>
      <c r="BA250"/>
      <c r="BB250"/>
      <c r="BC250"/>
      <c r="BD250"/>
      <c r="BE250"/>
      <c r="BF250"/>
      <c r="BG250"/>
      <c r="BH250"/>
      <c r="BI250"/>
      <c r="BJ250"/>
      <c r="BK250"/>
      <c r="BL250" t="s">
        <v>8</v>
      </c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 t="s">
        <v>8</v>
      </c>
      <c r="CD250"/>
      <c r="CE250"/>
      <c r="CF250" t="s">
        <v>8</v>
      </c>
      <c r="CG250"/>
      <c r="CH250"/>
      <c r="CI250" t="s">
        <v>8</v>
      </c>
      <c r="CJ250"/>
      <c r="CK250" t="s">
        <v>8</v>
      </c>
      <c r="CL250"/>
      <c r="CM250" t="s">
        <v>8</v>
      </c>
      <c r="CN250"/>
      <c r="CO250" t="s">
        <v>8</v>
      </c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 t="s">
        <v>8</v>
      </c>
      <c r="DD250"/>
      <c r="DE250"/>
      <c r="DF250"/>
      <c r="DG250"/>
      <c r="DH250"/>
      <c r="DI250"/>
      <c r="DJ250"/>
      <c r="DK250"/>
      <c r="DL250"/>
      <c r="DM250"/>
      <c r="DN250"/>
      <c r="DO250"/>
      <c r="DP250"/>
    </row>
    <row r="251" spans="1:120" s="4" customFormat="1">
      <c r="A251" t="str">
        <f>HYPERLINK(".\links\pep\TI-423-pep.txt","TI-423")</f>
        <v>TI-423</v>
      </c>
      <c r="B251">
        <v>423</v>
      </c>
      <c r="C251" t="s">
        <v>7</v>
      </c>
      <c r="D251">
        <v>219</v>
      </c>
      <c r="E251">
        <v>0</v>
      </c>
      <c r="F251" t="str">
        <f>HYPERLINK(".\links\cds\TI-423-cds.txt","TI-423")</f>
        <v>TI-423</v>
      </c>
      <c r="G251">
        <v>656</v>
      </c>
      <c r="H251"/>
      <c r="I251" t="s">
        <v>29</v>
      </c>
      <c r="J251" t="s">
        <v>8</v>
      </c>
      <c r="K251">
        <v>3</v>
      </c>
      <c r="L251">
        <v>0</v>
      </c>
      <c r="M251">
        <f t="shared" si="14"/>
        <v>3</v>
      </c>
      <c r="N251">
        <f t="shared" si="15"/>
        <v>3</v>
      </c>
      <c r="O251" t="s">
        <v>1174</v>
      </c>
      <c r="P251" t="s">
        <v>1175</v>
      </c>
      <c r="Q251" t="str">
        <f>HYPERLINK(".\links\NR-LIGHT\TI-423-NR-LIGHT.txt","NR-LIGHT")</f>
        <v>NR-LIGHT</v>
      </c>
      <c r="R251" s="3">
        <v>1E-51</v>
      </c>
      <c r="S251">
        <v>56.1</v>
      </c>
      <c r="T251" t="str">
        <f>HYPERLINK(".\links\NR-LIGHT\TI-423-NR-LIGHT.txt","cathepsin D")</f>
        <v>cathepsin D</v>
      </c>
      <c r="U251" t="str">
        <f>HYPERLINK("http://www.ncbi.nlm.nih.gov/sutils/blink.cgi?pid=301030231","1E-051")</f>
        <v>1E-051</v>
      </c>
      <c r="V251" t="str">
        <f>HYPERLINK("http://www.ncbi.nlm.nih.gov/protein/301030231","gi|301030231")</f>
        <v>gi|301030231</v>
      </c>
      <c r="W251">
        <v>204</v>
      </c>
      <c r="X251">
        <v>215</v>
      </c>
      <c r="Y251">
        <v>390</v>
      </c>
      <c r="Z251">
        <v>47</v>
      </c>
      <c r="AA251">
        <v>55</v>
      </c>
      <c r="AB251">
        <v>115</v>
      </c>
      <c r="AC251">
        <v>6</v>
      </c>
      <c r="AD251">
        <v>3</v>
      </c>
      <c r="AE251">
        <v>2</v>
      </c>
      <c r="AF251">
        <v>1</v>
      </c>
      <c r="AG251"/>
      <c r="AH251" t="s">
        <v>13</v>
      </c>
      <c r="AI251" t="s">
        <v>51</v>
      </c>
      <c r="AJ251" t="s">
        <v>273</v>
      </c>
      <c r="AK251" t="str">
        <f>HYPERLINK(".\links\SWISSP\TI-423-SWISSP.txt","Lysosomal aspartic protease OS=Aedes aegypti GN=AAEL006169 PE=1 SV=2")</f>
        <v>Lysosomal aspartic protease OS=Aedes aegypti GN=AAEL006169 PE=1 SV=2</v>
      </c>
      <c r="AL251" t="str">
        <f>HYPERLINK("http://www.uniprot.org/uniprot/Q03168","2E-046")</f>
        <v>2E-046</v>
      </c>
      <c r="AM251" t="s">
        <v>103</v>
      </c>
      <c r="AN251">
        <v>185</v>
      </c>
      <c r="AO251">
        <v>195</v>
      </c>
      <c r="AP251">
        <v>387</v>
      </c>
      <c r="AQ251">
        <v>49</v>
      </c>
      <c r="AR251">
        <v>51</v>
      </c>
      <c r="AS251">
        <v>100</v>
      </c>
      <c r="AT251">
        <v>4</v>
      </c>
      <c r="AU251">
        <v>21</v>
      </c>
      <c r="AV251">
        <v>21</v>
      </c>
      <c r="AW251">
        <v>1</v>
      </c>
      <c r="AX251" t="s">
        <v>76</v>
      </c>
      <c r="AY251" t="str">
        <f>HYPERLINK(".\links\PREV-RHOD-PEP\TI-423-PREV-RHOD-PEP.txt","Contig808_2")</f>
        <v>Contig808_2</v>
      </c>
      <c r="AZ251" s="3">
        <v>7.9999999999999994E-76</v>
      </c>
      <c r="BA251" t="s">
        <v>1136</v>
      </c>
      <c r="BB251">
        <v>279</v>
      </c>
      <c r="BC251">
        <v>486</v>
      </c>
      <c r="BD251">
        <v>628</v>
      </c>
      <c r="BE251">
        <v>60</v>
      </c>
      <c r="BF251">
        <v>78</v>
      </c>
      <c r="BG251">
        <v>87</v>
      </c>
      <c r="BH251">
        <v>4</v>
      </c>
      <c r="BI251">
        <v>1</v>
      </c>
      <c r="BJ251">
        <v>1</v>
      </c>
      <c r="BK251">
        <v>2</v>
      </c>
      <c r="BL251" t="s">
        <v>492</v>
      </c>
      <c r="BM251">
        <f>HYPERLINK(".\links\GO\TI-423-GO.txt",1E-47)</f>
        <v>9.9999999999999997E-48</v>
      </c>
      <c r="BN251" t="s">
        <v>455</v>
      </c>
      <c r="BO251" t="s">
        <v>345</v>
      </c>
      <c r="BP251" t="s">
        <v>349</v>
      </c>
      <c r="BQ251" t="s">
        <v>456</v>
      </c>
      <c r="BR251" s="3">
        <v>8E-41</v>
      </c>
      <c r="BS251" t="s">
        <v>493</v>
      </c>
      <c r="BT251" t="s">
        <v>323</v>
      </c>
      <c r="BU251" t="s">
        <v>334</v>
      </c>
      <c r="BV251" t="s">
        <v>494</v>
      </c>
      <c r="BW251" s="3">
        <v>8E-41</v>
      </c>
      <c r="BX251" t="s">
        <v>495</v>
      </c>
      <c r="BY251" t="s">
        <v>345</v>
      </c>
      <c r="BZ251" t="s">
        <v>349</v>
      </c>
      <c r="CA251" t="s">
        <v>496</v>
      </c>
      <c r="CB251" s="3">
        <v>8E-41</v>
      </c>
      <c r="CC251" t="s">
        <v>8</v>
      </c>
      <c r="CD251"/>
      <c r="CE251"/>
      <c r="CF251" t="s">
        <v>8</v>
      </c>
      <c r="CG251"/>
      <c r="CH251"/>
      <c r="CI251" t="s">
        <v>8</v>
      </c>
      <c r="CJ251"/>
      <c r="CK251" t="s">
        <v>8</v>
      </c>
      <c r="CL251"/>
      <c r="CM251" t="s">
        <v>8</v>
      </c>
      <c r="CN251"/>
      <c r="CO251" t="s">
        <v>8</v>
      </c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 t="s">
        <v>8</v>
      </c>
      <c r="DD251"/>
      <c r="DE251"/>
      <c r="DF251"/>
      <c r="DG251"/>
      <c r="DH251"/>
      <c r="DI251"/>
      <c r="DJ251"/>
      <c r="DK251"/>
      <c r="DL251"/>
      <c r="DM251"/>
      <c r="DN251"/>
      <c r="DO251"/>
      <c r="DP251"/>
    </row>
    <row r="252" spans="1:120" s="4" customFormat="1">
      <c r="A252" s="6" t="str">
        <f>HYPERLINK(".\links\pep\TI-424-pep.txt","TI-424")</f>
        <v>TI-424</v>
      </c>
      <c r="B252" s="6">
        <v>424</v>
      </c>
      <c r="C252" s="6" t="s">
        <v>7</v>
      </c>
      <c r="D252" s="6">
        <v>105</v>
      </c>
      <c r="E252" s="6">
        <v>0</v>
      </c>
      <c r="F252" s="6" t="str">
        <f>HYPERLINK(".\links\cds\TI-424-cds.txt","TI-424")</f>
        <v>TI-424</v>
      </c>
      <c r="G252" s="6">
        <v>318</v>
      </c>
      <c r="H252" s="6"/>
      <c r="I252" s="6" t="s">
        <v>29</v>
      </c>
      <c r="J252" s="6" t="s">
        <v>6</v>
      </c>
      <c r="K252" s="6">
        <v>1</v>
      </c>
      <c r="L252" s="6">
        <v>4</v>
      </c>
      <c r="M252" s="6">
        <f t="shared" si="14"/>
        <v>-3</v>
      </c>
      <c r="N252" s="6">
        <f t="shared" si="15"/>
        <v>3</v>
      </c>
      <c r="O252" s="6" t="s">
        <v>1170</v>
      </c>
      <c r="P252" s="6" t="s">
        <v>1171</v>
      </c>
      <c r="Q252" s="6"/>
      <c r="R252" s="6"/>
      <c r="S252" s="6"/>
      <c r="T252" s="6" t="str">
        <f>HYPERLINK(".\links\NR-LIGHT\TI-424-NR-LIGHT.txt","unnamed protein product")</f>
        <v>unnamed protein product</v>
      </c>
      <c r="U252" s="6" t="str">
        <f>HYPERLINK("http://www.ncbi.nlm.nih.gov/sutils/blink.cgi?pid=10177771","0.21")</f>
        <v>0.21</v>
      </c>
      <c r="V252" s="6" t="str">
        <f>HYPERLINK("http://www.ncbi.nlm.nih.gov/protein/10177771","gi|10177771")</f>
        <v>gi|10177771</v>
      </c>
      <c r="W252" s="6">
        <v>36.6</v>
      </c>
      <c r="X252" s="6">
        <v>45</v>
      </c>
      <c r="Y252" s="6">
        <v>326</v>
      </c>
      <c r="Z252" s="6">
        <v>34</v>
      </c>
      <c r="AA252" s="6">
        <v>14</v>
      </c>
      <c r="AB252" s="6">
        <v>33</v>
      </c>
      <c r="AC252" s="6">
        <v>4</v>
      </c>
      <c r="AD252" s="6">
        <v>128</v>
      </c>
      <c r="AE252" s="6">
        <v>56</v>
      </c>
      <c r="AF252" s="6">
        <v>1</v>
      </c>
      <c r="AG252" s="6"/>
      <c r="AH252" s="6" t="s">
        <v>13</v>
      </c>
      <c r="AI252" s="6" t="s">
        <v>51</v>
      </c>
      <c r="AJ252" s="6" t="s">
        <v>291</v>
      </c>
      <c r="AK252" s="6" t="s">
        <v>8</v>
      </c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 t="str">
        <f>HYPERLINK(".\links\PREV-RHOD-PEP\TI-424-PREV-RHOD-PEP.txt","Contig17970_431")</f>
        <v>Contig17970_431</v>
      </c>
      <c r="AZ252" s="8">
        <v>2.9999999999999998E-13</v>
      </c>
      <c r="BA252" s="6" t="s">
        <v>1137</v>
      </c>
      <c r="BB252" s="6">
        <v>70.099999999999994</v>
      </c>
      <c r="BC252" s="6">
        <v>80</v>
      </c>
      <c r="BD252" s="6">
        <v>102</v>
      </c>
      <c r="BE252" s="6">
        <v>42</v>
      </c>
      <c r="BF252" s="6">
        <v>79</v>
      </c>
      <c r="BG252" s="6">
        <v>47</v>
      </c>
      <c r="BH252" s="6">
        <v>1</v>
      </c>
      <c r="BI252" s="6">
        <v>19</v>
      </c>
      <c r="BJ252" s="6">
        <v>19</v>
      </c>
      <c r="BK252" s="6">
        <v>1</v>
      </c>
      <c r="BL252" s="6" t="s">
        <v>8</v>
      </c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 t="s">
        <v>8</v>
      </c>
      <c r="CD252" s="6"/>
      <c r="CE252" s="6"/>
      <c r="CF252" s="6" t="s">
        <v>8</v>
      </c>
      <c r="CG252" s="6"/>
      <c r="CH252" s="6"/>
      <c r="CI252" s="6" t="s">
        <v>8</v>
      </c>
      <c r="CJ252" s="6"/>
      <c r="CK252" s="6" t="s">
        <v>8</v>
      </c>
      <c r="CL252" s="6"/>
      <c r="CM252" s="6" t="s">
        <v>8</v>
      </c>
      <c r="CN252" s="6"/>
      <c r="CO252" s="6" t="s">
        <v>8</v>
      </c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 t="s">
        <v>8</v>
      </c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</row>
    <row r="253" spans="1:120" s="4" customFormat="1">
      <c r="A253" s="6" t="str">
        <f>HYPERLINK(".\links\pep\TI-425-pep.txt","TI-425")</f>
        <v>TI-425</v>
      </c>
      <c r="B253" s="6">
        <v>425</v>
      </c>
      <c r="C253" s="6" t="s">
        <v>13</v>
      </c>
      <c r="D253" s="6">
        <v>211</v>
      </c>
      <c r="E253" s="6">
        <v>0</v>
      </c>
      <c r="F253" s="6" t="str">
        <f>HYPERLINK(".\links\cds\TI-425-cds.txt","TI-425")</f>
        <v>TI-425</v>
      </c>
      <c r="G253" s="6">
        <v>636</v>
      </c>
      <c r="H253" s="6"/>
      <c r="I253" s="6" t="s">
        <v>8</v>
      </c>
      <c r="J253" s="6" t="s">
        <v>6</v>
      </c>
      <c r="K253" s="6">
        <v>3</v>
      </c>
      <c r="L253" s="6">
        <v>3</v>
      </c>
      <c r="M253" s="6">
        <f t="shared" si="14"/>
        <v>0</v>
      </c>
      <c r="N253" s="6">
        <f t="shared" si="15"/>
        <v>0</v>
      </c>
      <c r="O253" s="6" t="s">
        <v>1170</v>
      </c>
      <c r="P253" s="6" t="s">
        <v>1171</v>
      </c>
      <c r="Q253" s="6"/>
      <c r="R253" s="6"/>
      <c r="S253" s="6"/>
      <c r="T253" s="6" t="str">
        <f>HYPERLINK(".\links\NR-LIGHT\TI-425-NR-LIGHT.txt","late embryogenesis abundant domain-containing protein, putative")</f>
        <v>late embryogenesis abundant domain-containing protein, putative</v>
      </c>
      <c r="U253" s="6" t="str">
        <f>HYPERLINK("http://www.ncbi.nlm.nih.gov/sutils/blink.cgi?pid=221485238","3.6")</f>
        <v>3.6</v>
      </c>
      <c r="V253" s="6" t="str">
        <f>HYPERLINK("http://www.ncbi.nlm.nih.gov/protein/221485238","gi|221485238")</f>
        <v>gi|221485238</v>
      </c>
      <c r="W253" s="6">
        <v>33.9</v>
      </c>
      <c r="X253" s="6">
        <v>58</v>
      </c>
      <c r="Y253" s="6">
        <v>517</v>
      </c>
      <c r="Z253" s="6">
        <v>31</v>
      </c>
      <c r="AA253" s="6">
        <v>11</v>
      </c>
      <c r="AB253" s="6">
        <v>43</v>
      </c>
      <c r="AC253" s="6">
        <v>4</v>
      </c>
      <c r="AD253" s="6">
        <v>431</v>
      </c>
      <c r="AE253" s="6">
        <v>90</v>
      </c>
      <c r="AF253" s="6">
        <v>1</v>
      </c>
      <c r="AG253" s="6"/>
      <c r="AH253" s="6" t="s">
        <v>13</v>
      </c>
      <c r="AI253" s="6" t="s">
        <v>51</v>
      </c>
      <c r="AJ253" s="6" t="s">
        <v>299</v>
      </c>
      <c r="AK253" s="6" t="s">
        <v>8</v>
      </c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 t="str">
        <f>HYPERLINK(".\links\PREV-RHOD-PEP\TI-425-PREV-RHOD-PEP.txt","Contig7471_2")</f>
        <v>Contig7471_2</v>
      </c>
      <c r="AZ253" s="8">
        <v>6.0000000000000003E-55</v>
      </c>
      <c r="BA253" s="6" t="s">
        <v>1069</v>
      </c>
      <c r="BB253" s="6">
        <v>209</v>
      </c>
      <c r="BC253" s="6">
        <v>189</v>
      </c>
      <c r="BD253" s="6">
        <v>410</v>
      </c>
      <c r="BE253" s="6">
        <v>55</v>
      </c>
      <c r="BF253" s="6">
        <v>46</v>
      </c>
      <c r="BG253" s="6">
        <v>85</v>
      </c>
      <c r="BH253" s="6">
        <v>4</v>
      </c>
      <c r="BI253" s="6">
        <v>141</v>
      </c>
      <c r="BJ253" s="6">
        <v>2</v>
      </c>
      <c r="BK253" s="6">
        <v>1</v>
      </c>
      <c r="BL253" s="6" t="s">
        <v>8</v>
      </c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 t="s">
        <v>8</v>
      </c>
      <c r="CD253" s="6"/>
      <c r="CE253" s="6"/>
      <c r="CF253" s="6" t="s">
        <v>8</v>
      </c>
      <c r="CG253" s="6"/>
      <c r="CH253" s="6"/>
      <c r="CI253" s="6" t="s">
        <v>8</v>
      </c>
      <c r="CJ253" s="6"/>
      <c r="CK253" s="6" t="s">
        <v>8</v>
      </c>
      <c r="CL253" s="6"/>
      <c r="CM253" s="6" t="s">
        <v>8</v>
      </c>
      <c r="CN253" s="6"/>
      <c r="CO253" s="6" t="s">
        <v>8</v>
      </c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 t="s">
        <v>8</v>
      </c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</row>
    <row r="254" spans="1:120" s="4" customFormat="1">
      <c r="A254" t="str">
        <f>HYPERLINK(".\links\pep\TI-426-pep.txt","TI-426")</f>
        <v>TI-426</v>
      </c>
      <c r="B254">
        <v>426</v>
      </c>
      <c r="C254" t="s">
        <v>19</v>
      </c>
      <c r="D254">
        <v>73</v>
      </c>
      <c r="E254">
        <v>0</v>
      </c>
      <c r="F254" t="str">
        <f>HYPERLINK(".\links\cds\TI-426-cds.txt","TI-426")</f>
        <v>TI-426</v>
      </c>
      <c r="G254">
        <v>222</v>
      </c>
      <c r="H254"/>
      <c r="I254" t="s">
        <v>8</v>
      </c>
      <c r="J254" t="s">
        <v>6</v>
      </c>
      <c r="K254">
        <v>2</v>
      </c>
      <c r="L254">
        <v>2</v>
      </c>
      <c r="M254">
        <f t="shared" si="14"/>
        <v>0</v>
      </c>
      <c r="N254">
        <f t="shared" si="15"/>
        <v>0</v>
      </c>
      <c r="O254" t="s">
        <v>1227</v>
      </c>
      <c r="P254" t="s">
        <v>1196</v>
      </c>
      <c r="Q254" t="str">
        <f>HYPERLINK(".\links\NR-LIGHT\TI-426-NR-LIGHT.txt","NR-LIGHT")</f>
        <v>NR-LIGHT</v>
      </c>
      <c r="R254" s="3">
        <v>2.9999999999999998E-31</v>
      </c>
      <c r="S254">
        <v>8.4</v>
      </c>
      <c r="T254" t="str">
        <f>HYPERLINK(".\links\NR-LIGHT\TI-426-NR-LIGHT.txt","capsid protein precursor")</f>
        <v>capsid protein precursor</v>
      </c>
      <c r="U254" t="str">
        <f>HYPERLINK("http://www.ncbi.nlm.nih.gov/sutils/blink.cgi?pid=20451030","3E-031")</f>
        <v>3E-031</v>
      </c>
      <c r="V254" t="str">
        <f>HYPERLINK("http://www.ncbi.nlm.nih.gov/protein/20451030","gi|20451030")</f>
        <v>gi|20451030</v>
      </c>
      <c r="W254">
        <v>135</v>
      </c>
      <c r="X254">
        <v>72</v>
      </c>
      <c r="Y254">
        <v>868</v>
      </c>
      <c r="Z254">
        <v>95</v>
      </c>
      <c r="AA254">
        <v>8</v>
      </c>
      <c r="AB254">
        <v>3</v>
      </c>
      <c r="AC254">
        <v>0</v>
      </c>
      <c r="AD254">
        <v>796</v>
      </c>
      <c r="AE254">
        <v>1</v>
      </c>
      <c r="AF254">
        <v>1</v>
      </c>
      <c r="AG254"/>
      <c r="AH254" t="s">
        <v>13</v>
      </c>
      <c r="AI254" t="s">
        <v>51</v>
      </c>
      <c r="AJ254" t="s">
        <v>269</v>
      </c>
      <c r="AK254" t="s">
        <v>8</v>
      </c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 t="s">
        <v>8</v>
      </c>
      <c r="AZ254"/>
      <c r="BA254"/>
      <c r="BB254"/>
      <c r="BC254"/>
      <c r="BD254"/>
      <c r="BE254"/>
      <c r="BF254"/>
      <c r="BG254"/>
      <c r="BH254"/>
      <c r="BI254"/>
      <c r="BJ254"/>
      <c r="BK254"/>
      <c r="BL254" t="s">
        <v>8</v>
      </c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 t="s">
        <v>8</v>
      </c>
      <c r="CD254"/>
      <c r="CE254"/>
      <c r="CF254" t="s">
        <v>8</v>
      </c>
      <c r="CG254"/>
      <c r="CH254"/>
      <c r="CI254" t="s">
        <v>8</v>
      </c>
      <c r="CJ254"/>
      <c r="CK254" t="s">
        <v>8</v>
      </c>
      <c r="CL254"/>
      <c r="CM254" t="s">
        <v>8</v>
      </c>
      <c r="CN254"/>
      <c r="CO254" t="s">
        <v>8</v>
      </c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 t="s">
        <v>8</v>
      </c>
      <c r="DD254"/>
      <c r="DE254"/>
      <c r="DF254"/>
      <c r="DG254"/>
      <c r="DH254"/>
      <c r="DI254"/>
      <c r="DJ254"/>
      <c r="DK254"/>
      <c r="DL254"/>
      <c r="DM254"/>
      <c r="DN254"/>
      <c r="DO254"/>
      <c r="DP254"/>
    </row>
    <row r="255" spans="1:120" s="4" customFormat="1">
      <c r="A255" s="6" t="str">
        <f>HYPERLINK(".\links\pep\TI-427-pep.txt","TI-427")</f>
        <v>TI-427</v>
      </c>
      <c r="B255" s="6">
        <v>427</v>
      </c>
      <c r="C255" s="6" t="s">
        <v>16</v>
      </c>
      <c r="D255" s="6">
        <v>24</v>
      </c>
      <c r="E255" s="6">
        <v>0</v>
      </c>
      <c r="F255" s="6" t="str">
        <f>HYPERLINK(".\links\cds\TI-427-cds.txt","TI-427")</f>
        <v>TI-427</v>
      </c>
      <c r="G255" s="6">
        <v>75</v>
      </c>
      <c r="H255" s="6"/>
      <c r="I255" s="6" t="s">
        <v>8</v>
      </c>
      <c r="J255" s="6" t="s">
        <v>6</v>
      </c>
      <c r="K255" s="6">
        <v>2</v>
      </c>
      <c r="L255" s="6">
        <v>0</v>
      </c>
      <c r="M255" s="6">
        <f t="shared" si="14"/>
        <v>2</v>
      </c>
      <c r="N255" s="6">
        <f t="shared" si="15"/>
        <v>2</v>
      </c>
      <c r="O255" s="6" t="s">
        <v>1170</v>
      </c>
      <c r="P255" s="6" t="s">
        <v>1171</v>
      </c>
      <c r="Q255" s="6"/>
      <c r="R255" s="6"/>
      <c r="S255" s="6"/>
      <c r="T255" s="6" t="s">
        <v>8</v>
      </c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 t="s">
        <v>8</v>
      </c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 t="s">
        <v>8</v>
      </c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 t="s">
        <v>8</v>
      </c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 t="s">
        <v>8</v>
      </c>
      <c r="CD255" s="6"/>
      <c r="CE255" s="6"/>
      <c r="CF255" s="6" t="s">
        <v>8</v>
      </c>
      <c r="CG255" s="6"/>
      <c r="CH255" s="6"/>
      <c r="CI255" s="6" t="s">
        <v>8</v>
      </c>
      <c r="CJ255" s="6"/>
      <c r="CK255" s="6" t="s">
        <v>8</v>
      </c>
      <c r="CL255" s="6"/>
      <c r="CM255" s="6" t="s">
        <v>8</v>
      </c>
      <c r="CN255" s="6"/>
      <c r="CO255" s="6" t="s">
        <v>8</v>
      </c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 t="s">
        <v>8</v>
      </c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</row>
    <row r="256" spans="1:120" s="4" customFormat="1">
      <c r="A256" s="6" t="str">
        <f>HYPERLINK(".\links\pep\TI-428-pep.txt","TI-428")</f>
        <v>TI-428</v>
      </c>
      <c r="B256" s="6">
        <v>428</v>
      </c>
      <c r="C256" s="6" t="s">
        <v>23</v>
      </c>
      <c r="D256" s="6">
        <v>47</v>
      </c>
      <c r="E256" s="6">
        <v>0</v>
      </c>
      <c r="F256" s="6" t="str">
        <f>HYPERLINK(".\links\cds\TI-428-cds.txt","TI-428")</f>
        <v>TI-428</v>
      </c>
      <c r="G256" s="6">
        <v>144</v>
      </c>
      <c r="H256" s="6"/>
      <c r="I256" s="6" t="s">
        <v>8</v>
      </c>
      <c r="J256" s="6" t="s">
        <v>6</v>
      </c>
      <c r="K256" s="6">
        <v>1</v>
      </c>
      <c r="L256" s="6">
        <v>0</v>
      </c>
      <c r="M256" s="6">
        <f t="shared" si="14"/>
        <v>1</v>
      </c>
      <c r="N256" s="6">
        <f t="shared" si="15"/>
        <v>1</v>
      </c>
      <c r="O256" s="6" t="s">
        <v>1170</v>
      </c>
      <c r="P256" s="6" t="s">
        <v>1171</v>
      </c>
      <c r="Q256" s="6"/>
      <c r="R256" s="6"/>
      <c r="S256" s="6"/>
      <c r="T256" s="6" t="str">
        <f>HYPERLINK(".\links\NR-LIGHT\TI-428-NR-LIGHT.txt","hypothetical protein")</f>
        <v>hypothetical protein</v>
      </c>
      <c r="U256" s="6" t="str">
        <f>HYPERLINK("http://www.ncbi.nlm.nih.gov/sutils/blink.cgi?pid=256065190","0.29")</f>
        <v>0.29</v>
      </c>
      <c r="V256" s="6" t="str">
        <f>HYPERLINK("http://www.ncbi.nlm.nih.gov/protein/256065190","gi|256065190")</f>
        <v>gi|256065190</v>
      </c>
      <c r="W256" s="6">
        <v>36.200000000000003</v>
      </c>
      <c r="X256" s="6">
        <v>22</v>
      </c>
      <c r="Y256" s="6">
        <v>115</v>
      </c>
      <c r="Z256" s="6">
        <v>69</v>
      </c>
      <c r="AA256" s="6">
        <v>20</v>
      </c>
      <c r="AB256" s="6">
        <v>7</v>
      </c>
      <c r="AC256" s="6">
        <v>0</v>
      </c>
      <c r="AD256" s="6">
        <v>3</v>
      </c>
      <c r="AE256" s="6">
        <v>25</v>
      </c>
      <c r="AF256" s="6">
        <v>1</v>
      </c>
      <c r="AG256" s="6"/>
      <c r="AH256" s="6" t="s">
        <v>13</v>
      </c>
      <c r="AI256" s="6" t="s">
        <v>51</v>
      </c>
      <c r="AJ256" s="6" t="s">
        <v>265</v>
      </c>
      <c r="AK256" s="6" t="s">
        <v>8</v>
      </c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 t="s">
        <v>8</v>
      </c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 t="s">
        <v>8</v>
      </c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 t="s">
        <v>8</v>
      </c>
      <c r="CD256" s="6"/>
      <c r="CE256" s="6"/>
      <c r="CF256" s="6" t="s">
        <v>8</v>
      </c>
      <c r="CG256" s="6"/>
      <c r="CH256" s="6"/>
      <c r="CI256" s="6" t="s">
        <v>8</v>
      </c>
      <c r="CJ256" s="6"/>
      <c r="CK256" s="6" t="s">
        <v>8</v>
      </c>
      <c r="CL256" s="6"/>
      <c r="CM256" s="6" t="s">
        <v>8</v>
      </c>
      <c r="CN256" s="6"/>
      <c r="CO256" s="6" t="s">
        <v>8</v>
      </c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 t="str">
        <f>HYPERLINK(".\links\RRNA\TI-428-RRNA.txt","Myrmeleon sp. 18S ribosomal RNA")</f>
        <v>Myrmeleon sp. 18S ribosomal RNA</v>
      </c>
      <c r="DD256" s="6" t="str">
        <f>HYPERLINK("http://www.ncbi.nlm.nih.gov/entrez/viewer.fcgi?db=nucleotide&amp;val=293880","7E-046")</f>
        <v>7E-046</v>
      </c>
      <c r="DE256" s="6" t="str">
        <f>HYPERLINK("http://www.ncbi.nlm.nih.gov/entrez/viewer.fcgi?db=nucleotide&amp;val=293880","gi|293880")</f>
        <v>gi|293880</v>
      </c>
      <c r="DF256" s="6">
        <v>180</v>
      </c>
      <c r="DG256" s="6">
        <v>125</v>
      </c>
      <c r="DH256" s="6">
        <v>1379</v>
      </c>
      <c r="DI256" s="6">
        <v>93</v>
      </c>
      <c r="DJ256" s="6">
        <v>9</v>
      </c>
      <c r="DK256" s="6">
        <v>8</v>
      </c>
      <c r="DL256" s="6">
        <v>1</v>
      </c>
      <c r="DM256" s="6">
        <v>379</v>
      </c>
      <c r="DN256" s="6">
        <v>18</v>
      </c>
      <c r="DO256" s="6">
        <v>1</v>
      </c>
      <c r="DP256" s="6" t="s">
        <v>51</v>
      </c>
    </row>
    <row r="257" spans="1:120" s="4" customFormat="1">
      <c r="A257" t="str">
        <f>HYPERLINK(".\links\pep\TI-429-pep.txt","TI-429")</f>
        <v>TI-429</v>
      </c>
      <c r="B257">
        <v>429</v>
      </c>
      <c r="C257" t="s">
        <v>22</v>
      </c>
      <c r="D257">
        <v>57</v>
      </c>
      <c r="E257">
        <v>0</v>
      </c>
      <c r="F257" t="str">
        <f>HYPERLINK(".\links\cds\TI-429-cds.txt","TI-429")</f>
        <v>TI-429</v>
      </c>
      <c r="G257">
        <v>174</v>
      </c>
      <c r="H257"/>
      <c r="I257" t="s">
        <v>8</v>
      </c>
      <c r="J257" t="s">
        <v>6</v>
      </c>
      <c r="K257">
        <v>2</v>
      </c>
      <c r="L257">
        <v>3</v>
      </c>
      <c r="M257">
        <f t="shared" si="14"/>
        <v>-1</v>
      </c>
      <c r="N257">
        <f t="shared" si="15"/>
        <v>1</v>
      </c>
      <c r="O257" t="s">
        <v>1331</v>
      </c>
      <c r="P257" t="s">
        <v>1185</v>
      </c>
      <c r="Q257" t="str">
        <f>HYPERLINK(".\links\NR-LIGHT\TI-429-NR-LIGHT.txt","NR-LIGHT")</f>
        <v>NR-LIGHT</v>
      </c>
      <c r="R257">
        <v>8.0000000000000005E-9</v>
      </c>
      <c r="S257">
        <v>25.5</v>
      </c>
      <c r="T257" t="str">
        <f>HYPERLINK(".\links\NR-LIGHT\TI-429-NR-LIGHT.txt","cytochrome oxidase subunit 2")</f>
        <v>cytochrome oxidase subunit 2</v>
      </c>
      <c r="U257" t="str">
        <f>HYPERLINK("http://www.ncbi.nlm.nih.gov/sutils/blink.cgi?pid=149689096","8E-009")</f>
        <v>8E-009</v>
      </c>
      <c r="V257" t="str">
        <f>HYPERLINK("http://www.ncbi.nlm.nih.gov/protein/149689096","gi|149689096")</f>
        <v>gi|149689096</v>
      </c>
      <c r="W257">
        <v>61.2</v>
      </c>
      <c r="X257">
        <v>56</v>
      </c>
      <c r="Y257">
        <v>223</v>
      </c>
      <c r="Z257">
        <v>56</v>
      </c>
      <c r="AA257">
        <v>26</v>
      </c>
      <c r="AB257">
        <v>25</v>
      </c>
      <c r="AC257">
        <v>0</v>
      </c>
      <c r="AD257">
        <v>5</v>
      </c>
      <c r="AE257">
        <v>1</v>
      </c>
      <c r="AF257">
        <v>1</v>
      </c>
      <c r="AG257"/>
      <c r="AH257" t="s">
        <v>13</v>
      </c>
      <c r="AI257" t="s">
        <v>51</v>
      </c>
      <c r="AJ257" t="s">
        <v>273</v>
      </c>
      <c r="AK257" t="str">
        <f>HYPERLINK(".\links\SWISSP\TI-429-SWISSP.txt","Cytochrome c oxidase subunit 2 OS=Anopheles quadrimaculatus GN=COXII PE=3 SV=1")</f>
        <v>Cytochrome c oxidase subunit 2 OS=Anopheles quadrimaculatus GN=COXII PE=3 SV=1</v>
      </c>
      <c r="AL257" t="str">
        <f>HYPERLINK("http://www.uniprot.org/uniprot/P33505","2E-006")</f>
        <v>2E-006</v>
      </c>
      <c r="AM257" t="s">
        <v>223</v>
      </c>
      <c r="AN257">
        <v>51.2</v>
      </c>
      <c r="AO257">
        <v>56</v>
      </c>
      <c r="AP257">
        <v>228</v>
      </c>
      <c r="AQ257">
        <v>43</v>
      </c>
      <c r="AR257">
        <v>25</v>
      </c>
      <c r="AS257">
        <v>32</v>
      </c>
      <c r="AT257">
        <v>0</v>
      </c>
      <c r="AU257">
        <v>8</v>
      </c>
      <c r="AV257">
        <v>1</v>
      </c>
      <c r="AW257">
        <v>1</v>
      </c>
      <c r="AX257" t="s">
        <v>143</v>
      </c>
      <c r="AY257" t="s">
        <v>8</v>
      </c>
      <c r="AZ257"/>
      <c r="BA257"/>
      <c r="BB257"/>
      <c r="BC257"/>
      <c r="BD257"/>
      <c r="BE257"/>
      <c r="BF257"/>
      <c r="BG257"/>
      <c r="BH257"/>
      <c r="BI257"/>
      <c r="BJ257"/>
      <c r="BK257"/>
      <c r="BL257" t="s">
        <v>888</v>
      </c>
      <c r="BM257">
        <f>HYPERLINK(".\links\GO\TI-429-GO.txt",0.001)</f>
        <v>1E-3</v>
      </c>
      <c r="BN257" t="s">
        <v>841</v>
      </c>
      <c r="BO257" t="s">
        <v>319</v>
      </c>
      <c r="BP257" t="s">
        <v>320</v>
      </c>
      <c r="BQ257" t="s">
        <v>842</v>
      </c>
      <c r="BR257">
        <v>1E-3</v>
      </c>
      <c r="BS257" t="s">
        <v>608</v>
      </c>
      <c r="BT257" t="s">
        <v>323</v>
      </c>
      <c r="BU257" t="s">
        <v>334</v>
      </c>
      <c r="BV257" t="s">
        <v>609</v>
      </c>
      <c r="BW257">
        <v>1E-3</v>
      </c>
      <c r="BX257" t="s">
        <v>845</v>
      </c>
      <c r="BY257" t="s">
        <v>319</v>
      </c>
      <c r="BZ257" t="s">
        <v>320</v>
      </c>
      <c r="CA257" t="s">
        <v>846</v>
      </c>
      <c r="CB257">
        <v>1E-3</v>
      </c>
      <c r="CC257" t="s">
        <v>8</v>
      </c>
      <c r="CD257"/>
      <c r="CE257"/>
      <c r="CF257" t="s">
        <v>8</v>
      </c>
      <c r="CG257"/>
      <c r="CH257"/>
      <c r="CI257" t="s">
        <v>8</v>
      </c>
      <c r="CJ257"/>
      <c r="CK257" t="s">
        <v>8</v>
      </c>
      <c r="CL257"/>
      <c r="CM257" t="s">
        <v>8</v>
      </c>
      <c r="CN257"/>
      <c r="CO257" t="str">
        <f>HYPERLINK(".\links\MIT-PLA\TI-429-MIT-PLA.txt","Triatoma infestans clone TI-43 cytochrome oxidase subunit 2 mRNA, complete cds;")</f>
        <v>Triatoma infestans clone TI-43 cytochrome oxidase subunit 2 mRNA, complete cds;</v>
      </c>
      <c r="CP257" t="str">
        <f>HYPERLINK("http://www.ncbi.nlm.nih.gov/entrez/viewer.fcgi?db=nucleotide&amp;val=149689095","4E-065")</f>
        <v>4E-065</v>
      </c>
      <c r="CQ257" t="str">
        <f>HYPERLINK("http://www.ncbi.nlm.nih.gov/entrez/viewer.fcgi?db=nucleotide&amp;val=149689095","gi|149689095")</f>
        <v>gi|149689095</v>
      </c>
      <c r="CR257">
        <v>242</v>
      </c>
      <c r="CS257">
        <v>173</v>
      </c>
      <c r="CT257">
        <v>672</v>
      </c>
      <c r="CU257">
        <v>92</v>
      </c>
      <c r="CV257">
        <v>26</v>
      </c>
      <c r="CW257">
        <v>13</v>
      </c>
      <c r="CX257">
        <v>0</v>
      </c>
      <c r="CY257">
        <v>13</v>
      </c>
      <c r="CZ257">
        <v>1</v>
      </c>
      <c r="DA257">
        <v>1</v>
      </c>
      <c r="DB257" t="s">
        <v>51</v>
      </c>
      <c r="DC257" t="s">
        <v>8</v>
      </c>
      <c r="DD257"/>
      <c r="DE257"/>
      <c r="DF257"/>
      <c r="DG257"/>
      <c r="DH257"/>
      <c r="DI257"/>
      <c r="DJ257"/>
      <c r="DK257"/>
      <c r="DL257"/>
      <c r="DM257"/>
      <c r="DN257"/>
      <c r="DO257"/>
      <c r="DP257"/>
    </row>
    <row r="258" spans="1:120" s="4" customFormat="1">
      <c r="A258" t="str">
        <f>HYPERLINK(".\links\pep\TI-430-pep.txt","TI-430")</f>
        <v>TI-430</v>
      </c>
      <c r="B258">
        <v>430</v>
      </c>
      <c r="C258" t="s">
        <v>15</v>
      </c>
      <c r="D258">
        <v>395</v>
      </c>
      <c r="E258" s="2">
        <v>1.0126580000000001</v>
      </c>
      <c r="F258" t="str">
        <f>HYPERLINK(".\links\cds\TI-430-cds.txt","TI-430")</f>
        <v>TI-430</v>
      </c>
      <c r="G258">
        <v>1184</v>
      </c>
      <c r="H258"/>
      <c r="I258" t="s">
        <v>8</v>
      </c>
      <c r="J258" t="s">
        <v>8</v>
      </c>
      <c r="K258">
        <v>4</v>
      </c>
      <c r="L258">
        <v>1</v>
      </c>
      <c r="M258">
        <f t="shared" si="14"/>
        <v>3</v>
      </c>
      <c r="N258">
        <f t="shared" si="15"/>
        <v>3</v>
      </c>
      <c r="O258" t="s">
        <v>1227</v>
      </c>
      <c r="P258" t="s">
        <v>1196</v>
      </c>
      <c r="Q258" t="str">
        <f>HYPERLINK(".\links\NR-LIGHT\TI-430-NR-LIGHT.txt","NR-LIGHT")</f>
        <v>NR-LIGHT</v>
      </c>
      <c r="R258">
        <v>0</v>
      </c>
      <c r="S258">
        <v>43.6</v>
      </c>
      <c r="T258" t="str">
        <f>HYPERLINK(".\links\NR-LIGHT\TI-430-NR-LIGHT.txt","capsid protein precursor")</f>
        <v>capsid protein precursor</v>
      </c>
      <c r="U258" t="str">
        <f>HYPERLINK("http://www.ncbi.nlm.nih.gov/sutils/blink.cgi?pid=20451030","0.0")</f>
        <v>0.0</v>
      </c>
      <c r="V258" t="str">
        <f>HYPERLINK("http://www.ncbi.nlm.nih.gov/protein/20451030","gi|20451030")</f>
        <v>gi|20451030</v>
      </c>
      <c r="W258">
        <v>732</v>
      </c>
      <c r="X258">
        <v>378</v>
      </c>
      <c r="Y258">
        <v>868</v>
      </c>
      <c r="Z258">
        <v>95</v>
      </c>
      <c r="AA258">
        <v>44</v>
      </c>
      <c r="AB258">
        <v>17</v>
      </c>
      <c r="AC258">
        <v>0</v>
      </c>
      <c r="AD258">
        <v>381</v>
      </c>
      <c r="AE258">
        <v>6</v>
      </c>
      <c r="AF258">
        <v>1</v>
      </c>
      <c r="AG258"/>
      <c r="AH258" t="s">
        <v>13</v>
      </c>
      <c r="AI258" t="s">
        <v>51</v>
      </c>
      <c r="AJ258" t="s">
        <v>269</v>
      </c>
      <c r="AK258" t="str">
        <f>HYPERLINK(".\links\SWISSP\TI-430-SWISSP.txt","Structural polyprotein OS=Cricket paralysis virus (isolate Teleogryllus")</f>
        <v>Structural polyprotein OS=Cricket paralysis virus (isolate Teleogryllus</v>
      </c>
      <c r="AL258" t="str">
        <f>HYPERLINK("http://www.uniprot.org/uniprot/P13418","8E-021")</f>
        <v>8E-021</v>
      </c>
      <c r="AM258" t="s">
        <v>92</v>
      </c>
      <c r="AN258">
        <v>101</v>
      </c>
      <c r="AO258">
        <v>341</v>
      </c>
      <c r="AP258">
        <v>895</v>
      </c>
      <c r="AQ258">
        <v>26</v>
      </c>
      <c r="AR258">
        <v>38</v>
      </c>
      <c r="AS258">
        <v>269</v>
      </c>
      <c r="AT258">
        <v>46</v>
      </c>
      <c r="AU258">
        <v>409</v>
      </c>
      <c r="AV258">
        <v>6</v>
      </c>
      <c r="AW258">
        <v>1</v>
      </c>
      <c r="AX258" t="s">
        <v>93</v>
      </c>
      <c r="AY258" t="s">
        <v>8</v>
      </c>
      <c r="AZ258"/>
      <c r="BA258"/>
      <c r="BB258"/>
      <c r="BC258"/>
      <c r="BD258"/>
      <c r="BE258"/>
      <c r="BF258"/>
      <c r="BG258"/>
      <c r="BH258"/>
      <c r="BI258"/>
      <c r="BJ258"/>
      <c r="BK258"/>
      <c r="BL258" t="s">
        <v>8</v>
      </c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 t="s">
        <v>8</v>
      </c>
      <c r="CD258"/>
      <c r="CE258"/>
      <c r="CF258" t="s">
        <v>8</v>
      </c>
      <c r="CG258"/>
      <c r="CH258"/>
      <c r="CI258" t="s">
        <v>8</v>
      </c>
      <c r="CJ258"/>
      <c r="CK258" t="s">
        <v>8</v>
      </c>
      <c r="CL258"/>
      <c r="CM258" t="s">
        <v>8</v>
      </c>
      <c r="CN258"/>
      <c r="CO258" t="s">
        <v>8</v>
      </c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 t="s">
        <v>8</v>
      </c>
      <c r="DD258"/>
      <c r="DE258"/>
      <c r="DF258"/>
      <c r="DG258"/>
      <c r="DH258"/>
      <c r="DI258"/>
      <c r="DJ258"/>
      <c r="DK258"/>
      <c r="DL258"/>
      <c r="DM258"/>
      <c r="DN258"/>
      <c r="DO258"/>
      <c r="DP258"/>
    </row>
    <row r="259" spans="1:120" s="4" customFormat="1">
      <c r="A259" t="str">
        <f>HYPERLINK(".\links\pep\TI-431-pep.txt","TI-431")</f>
        <v>TI-431</v>
      </c>
      <c r="B259">
        <v>431</v>
      </c>
      <c r="C259" t="s">
        <v>7</v>
      </c>
      <c r="D259">
        <v>173</v>
      </c>
      <c r="E259" s="2">
        <v>14.45087</v>
      </c>
      <c r="F259" t="str">
        <f>HYPERLINK(".\links\cds\TI-431-cds.txt","TI-431")</f>
        <v>TI-431</v>
      </c>
      <c r="G259">
        <v>522</v>
      </c>
      <c r="H259" t="s">
        <v>24</v>
      </c>
      <c r="I259" t="s">
        <v>29</v>
      </c>
      <c r="J259" t="s">
        <v>6</v>
      </c>
      <c r="K259">
        <v>0</v>
      </c>
      <c r="L259">
        <v>4</v>
      </c>
      <c r="M259">
        <f t="shared" si="14"/>
        <v>-4</v>
      </c>
      <c r="N259">
        <f t="shared" si="15"/>
        <v>4</v>
      </c>
      <c r="O259" t="s">
        <v>1332</v>
      </c>
      <c r="P259" t="s">
        <v>1169</v>
      </c>
      <c r="Q259" t="str">
        <f>HYPERLINK(".\links\SWISSP\TI-431-SWISSP.txt","SWISSP")</f>
        <v>SWISSP</v>
      </c>
      <c r="R259" s="3">
        <v>9.0000000000000008E-34</v>
      </c>
      <c r="S259">
        <v>76.7</v>
      </c>
      <c r="T259" t="str">
        <f>HYPERLINK(".\links\NR-LIGHT\TI-431-NR-LIGHT.txt","hypothetical protein AND_22679")</f>
        <v>hypothetical protein AND_22679</v>
      </c>
      <c r="U259" t="str">
        <f>HYPERLINK("http://www.ncbi.nlm.nih.gov/sutils/blink.cgi?pid=312371071","2E-033")</f>
        <v>2E-033</v>
      </c>
      <c r="V259" t="str">
        <f>HYPERLINK("http://www.ncbi.nlm.nih.gov/protein/312371071","gi|312371071")</f>
        <v>gi|312371071</v>
      </c>
      <c r="W259">
        <v>143</v>
      </c>
      <c r="X259">
        <v>118</v>
      </c>
      <c r="Y259">
        <v>156</v>
      </c>
      <c r="Z259">
        <v>63</v>
      </c>
      <c r="AA259">
        <v>76</v>
      </c>
      <c r="AB259">
        <v>43</v>
      </c>
      <c r="AC259">
        <v>0</v>
      </c>
      <c r="AD259">
        <v>1</v>
      </c>
      <c r="AE259">
        <v>1</v>
      </c>
      <c r="AF259">
        <v>1</v>
      </c>
      <c r="AG259"/>
      <c r="AH259" t="s">
        <v>13</v>
      </c>
      <c r="AI259" t="s">
        <v>51</v>
      </c>
      <c r="AJ259" t="s">
        <v>271</v>
      </c>
      <c r="AK259" t="str">
        <f>HYPERLINK(".\links\SWISSP\TI-431-SWISSP.txt","Ubiquitin-40S ribosomal protein S27a OS=Plutella xylostella PE=2 SV=2")</f>
        <v>Ubiquitin-40S ribosomal protein S27a OS=Plutella xylostella PE=2 SV=2</v>
      </c>
      <c r="AL259" t="str">
        <f>HYPERLINK("http://www.uniprot.org/uniprot/P68202","9E-034")</f>
        <v>9E-034</v>
      </c>
      <c r="AM259" t="s">
        <v>61</v>
      </c>
      <c r="AN259">
        <v>142</v>
      </c>
      <c r="AO259">
        <v>118</v>
      </c>
      <c r="AP259">
        <v>155</v>
      </c>
      <c r="AQ259">
        <v>63</v>
      </c>
      <c r="AR259">
        <v>77</v>
      </c>
      <c r="AS259">
        <v>43</v>
      </c>
      <c r="AT259">
        <v>0</v>
      </c>
      <c r="AU259">
        <v>1</v>
      </c>
      <c r="AV259">
        <v>1</v>
      </c>
      <c r="AW259">
        <v>1</v>
      </c>
      <c r="AX259" t="s">
        <v>62</v>
      </c>
      <c r="AY259" t="str">
        <f>HYPERLINK(".\links\PREV-RHOD-PEP\TI-431-PREV-RHOD-PEP.txt","Contig17921_30")</f>
        <v>Contig17921_30</v>
      </c>
      <c r="AZ259" s="3">
        <v>3.0000000000000002E-36</v>
      </c>
      <c r="BA259" t="s">
        <v>990</v>
      </c>
      <c r="BB259">
        <v>147</v>
      </c>
      <c r="BC259">
        <v>118</v>
      </c>
      <c r="BD259">
        <v>156</v>
      </c>
      <c r="BE259">
        <v>65</v>
      </c>
      <c r="BF259">
        <v>76</v>
      </c>
      <c r="BG259">
        <v>41</v>
      </c>
      <c r="BH259">
        <v>0</v>
      </c>
      <c r="BI259">
        <v>1</v>
      </c>
      <c r="BJ259">
        <v>1</v>
      </c>
      <c r="BK259">
        <v>1</v>
      </c>
      <c r="BL259" t="s">
        <v>363</v>
      </c>
      <c r="BM259">
        <f>HYPERLINK(".\links\GO\TI-431-GO.txt",4E-34)</f>
        <v>3.9999999999999997E-34</v>
      </c>
      <c r="BN259" t="s">
        <v>339</v>
      </c>
      <c r="BO259" t="s">
        <v>340</v>
      </c>
      <c r="BP259" t="s">
        <v>341</v>
      </c>
      <c r="BQ259" t="s">
        <v>342</v>
      </c>
      <c r="BR259" s="3">
        <v>3.9999999999999997E-34</v>
      </c>
      <c r="BS259" t="s">
        <v>356</v>
      </c>
      <c r="BT259" t="s">
        <v>323</v>
      </c>
      <c r="BU259" t="s">
        <v>334</v>
      </c>
      <c r="BV259" t="s">
        <v>357</v>
      </c>
      <c r="BW259" s="3">
        <v>3.9999999999999997E-34</v>
      </c>
      <c r="BX259" t="s">
        <v>364</v>
      </c>
      <c r="BY259" t="s">
        <v>340</v>
      </c>
      <c r="BZ259" t="s">
        <v>341</v>
      </c>
      <c r="CA259" t="s">
        <v>365</v>
      </c>
      <c r="CB259" s="3">
        <v>3.9999999999999997E-34</v>
      </c>
      <c r="CC259" t="s">
        <v>8</v>
      </c>
      <c r="CD259"/>
      <c r="CE259"/>
      <c r="CF259" t="s">
        <v>8</v>
      </c>
      <c r="CG259"/>
      <c r="CH259"/>
      <c r="CI259" t="s">
        <v>8</v>
      </c>
      <c r="CJ259"/>
      <c r="CK259" t="s">
        <v>8</v>
      </c>
      <c r="CL259"/>
      <c r="CM259" t="s">
        <v>8</v>
      </c>
      <c r="CN259"/>
      <c r="CO259" t="s">
        <v>8</v>
      </c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 t="s">
        <v>8</v>
      </c>
      <c r="DD259"/>
      <c r="DE259"/>
      <c r="DF259"/>
      <c r="DG259"/>
      <c r="DH259"/>
      <c r="DI259"/>
      <c r="DJ259"/>
      <c r="DK259"/>
      <c r="DL259"/>
      <c r="DM259"/>
      <c r="DN259"/>
      <c r="DO259"/>
      <c r="DP259"/>
    </row>
    <row r="260" spans="1:120" s="4" customFormat="1">
      <c r="A260" t="str">
        <f>HYPERLINK(".\links\pep\TI-432-pep.txt","TI-432")</f>
        <v>TI-432</v>
      </c>
      <c r="B260">
        <v>432</v>
      </c>
      <c r="C260" t="s">
        <v>11</v>
      </c>
      <c r="D260">
        <v>70</v>
      </c>
      <c r="E260">
        <v>0</v>
      </c>
      <c r="F260" t="str">
        <f>HYPERLINK(".\links\cds\TI-432-cds.txt","TI-432")</f>
        <v>TI-432</v>
      </c>
      <c r="G260">
        <v>213</v>
      </c>
      <c r="H260"/>
      <c r="I260" t="s">
        <v>8</v>
      </c>
      <c r="J260" t="s">
        <v>6</v>
      </c>
      <c r="K260">
        <v>2</v>
      </c>
      <c r="L260">
        <v>1</v>
      </c>
      <c r="M260">
        <f t="shared" si="14"/>
        <v>1</v>
      </c>
      <c r="N260">
        <f t="shared" si="15"/>
        <v>1</v>
      </c>
      <c r="O260" t="s">
        <v>1333</v>
      </c>
      <c r="P260" t="s">
        <v>1185</v>
      </c>
      <c r="Q260" t="str">
        <f>HYPERLINK(".\links\NR-LIGHT\TI-432-NR-LIGHT.txt","NR-LIGHT")</f>
        <v>NR-LIGHT</v>
      </c>
      <c r="R260" s="3">
        <v>1.9999999999999999E-20</v>
      </c>
      <c r="S260">
        <v>23.2</v>
      </c>
      <c r="T260" t="str">
        <f>HYPERLINK(".\links\NR-LIGHT\TI-432-NR-LIGHT.txt","cytochrome B")</f>
        <v>cytochrome B</v>
      </c>
      <c r="U260" t="str">
        <f>HYPERLINK("http://www.ncbi.nlm.nih.gov/sutils/blink.cgi?pid=317408312","2E-020")</f>
        <v>2E-020</v>
      </c>
      <c r="V260" t="str">
        <f>HYPERLINK("http://www.ncbi.nlm.nih.gov/protein/317408312","gi|317408312")</f>
        <v>gi|317408312</v>
      </c>
      <c r="W260">
        <v>100</v>
      </c>
      <c r="X260">
        <v>51</v>
      </c>
      <c r="Y260">
        <v>224</v>
      </c>
      <c r="Z260">
        <v>92</v>
      </c>
      <c r="AA260">
        <v>23</v>
      </c>
      <c r="AB260">
        <v>4</v>
      </c>
      <c r="AC260">
        <v>0</v>
      </c>
      <c r="AD260">
        <v>83</v>
      </c>
      <c r="AE260">
        <v>19</v>
      </c>
      <c r="AF260">
        <v>1</v>
      </c>
      <c r="AG260"/>
      <c r="AH260" t="s">
        <v>13</v>
      </c>
      <c r="AI260" t="s">
        <v>51</v>
      </c>
      <c r="AJ260" t="s">
        <v>273</v>
      </c>
      <c r="AK260" t="str">
        <f>HYPERLINK(".\links\SWISSP\TI-432-SWISSP.txt","Cytochrome b OS=Corvus brachyrhynchos GN=MT-CYB PE=3 SV=1")</f>
        <v>Cytochrome b OS=Corvus brachyrhynchos GN=MT-CYB PE=3 SV=1</v>
      </c>
      <c r="AL260" t="str">
        <f>HYPERLINK("http://www.uniprot.org/uniprot/Q950C7","3E-013")</f>
        <v>3E-013</v>
      </c>
      <c r="AM260" t="s">
        <v>224</v>
      </c>
      <c r="AN260">
        <v>73.599999999999994</v>
      </c>
      <c r="AO260">
        <v>51</v>
      </c>
      <c r="AP260">
        <v>380</v>
      </c>
      <c r="AQ260">
        <v>65</v>
      </c>
      <c r="AR260">
        <v>14</v>
      </c>
      <c r="AS260">
        <v>18</v>
      </c>
      <c r="AT260">
        <v>0</v>
      </c>
      <c r="AU260">
        <v>194</v>
      </c>
      <c r="AV260">
        <v>19</v>
      </c>
      <c r="AW260">
        <v>1</v>
      </c>
      <c r="AX260" t="s">
        <v>225</v>
      </c>
      <c r="AY260" t="s">
        <v>8</v>
      </c>
      <c r="AZ260"/>
      <c r="BA260"/>
      <c r="BB260"/>
      <c r="BC260"/>
      <c r="BD260"/>
      <c r="BE260"/>
      <c r="BF260"/>
      <c r="BG260"/>
      <c r="BH260"/>
      <c r="BI260"/>
      <c r="BJ260"/>
      <c r="BK260"/>
      <c r="BL260" t="s">
        <v>889</v>
      </c>
      <c r="BM260">
        <f>HYPERLINK(".\links\GO\TI-432-GO.txt",0.000000000001)</f>
        <v>9.9999999999999998E-13</v>
      </c>
      <c r="BN260" t="s">
        <v>581</v>
      </c>
      <c r="BO260" t="s">
        <v>581</v>
      </c>
      <c r="BP260"/>
      <c r="BQ260" t="s">
        <v>582</v>
      </c>
      <c r="BR260">
        <v>9.9999999999999998E-13</v>
      </c>
      <c r="BS260" t="s">
        <v>424</v>
      </c>
      <c r="BT260" t="s">
        <v>323</v>
      </c>
      <c r="BU260" t="s">
        <v>390</v>
      </c>
      <c r="BV260" t="s">
        <v>425</v>
      </c>
      <c r="BW260">
        <v>9.9999999999999998E-13</v>
      </c>
      <c r="BX260" t="s">
        <v>618</v>
      </c>
      <c r="BY260" t="s">
        <v>581</v>
      </c>
      <c r="BZ260"/>
      <c r="CA260" t="s">
        <v>619</v>
      </c>
      <c r="CB260">
        <v>9.9999999999999998E-13</v>
      </c>
      <c r="CC260" t="s">
        <v>8</v>
      </c>
      <c r="CD260"/>
      <c r="CE260"/>
      <c r="CF260" t="s">
        <v>8</v>
      </c>
      <c r="CG260"/>
      <c r="CH260"/>
      <c r="CI260" t="s">
        <v>8</v>
      </c>
      <c r="CJ260"/>
      <c r="CK260" t="s">
        <v>8</v>
      </c>
      <c r="CL260"/>
      <c r="CM260" t="s">
        <v>8</v>
      </c>
      <c r="CN260"/>
      <c r="CO260" t="str">
        <f>HYPERLINK(".\links\MIT-PLA\TI-432-MIT-PLA.txt","Triatoma infestans clone TI-61 truncated cytochrome b mRNA, partial cds;")</f>
        <v>Triatoma infestans clone TI-61 truncated cytochrome b mRNA, partial cds;</v>
      </c>
      <c r="CP260" t="str">
        <f>HYPERLINK("http://www.ncbi.nlm.nih.gov/entrez/viewer.fcgi?db=nucleotide&amp;val=149898867","5E-093")</f>
        <v>5E-093</v>
      </c>
      <c r="CQ260" t="str">
        <f>HYPERLINK("http://www.ncbi.nlm.nih.gov/entrez/viewer.fcgi?db=nucleotide&amp;val=149898867","gi|149898867")</f>
        <v>gi|149898867</v>
      </c>
      <c r="CR260">
        <v>335</v>
      </c>
      <c r="CS260">
        <v>212</v>
      </c>
      <c r="CT260">
        <v>1107</v>
      </c>
      <c r="CU260">
        <v>94</v>
      </c>
      <c r="CV260">
        <v>19</v>
      </c>
      <c r="CW260">
        <v>11</v>
      </c>
      <c r="CX260">
        <v>0</v>
      </c>
      <c r="CY260">
        <v>499</v>
      </c>
      <c r="CZ260">
        <v>1</v>
      </c>
      <c r="DA260">
        <v>1</v>
      </c>
      <c r="DB260" t="s">
        <v>51</v>
      </c>
      <c r="DC260" t="s">
        <v>8</v>
      </c>
      <c r="DD260"/>
      <c r="DE260"/>
      <c r="DF260"/>
      <c r="DG260"/>
      <c r="DH260"/>
      <c r="DI260"/>
      <c r="DJ260"/>
      <c r="DK260"/>
      <c r="DL260"/>
      <c r="DM260"/>
      <c r="DN260"/>
      <c r="DO260"/>
      <c r="DP260"/>
    </row>
    <row r="261" spans="1:120" s="4" customFormat="1">
      <c r="A261" s="6" t="str">
        <f>HYPERLINK(".\links\pep\TI-433-pep.txt","TI-433")</f>
        <v>TI-433</v>
      </c>
      <c r="B261" s="6">
        <v>433</v>
      </c>
      <c r="C261" s="6" t="s">
        <v>28</v>
      </c>
      <c r="D261" s="6">
        <v>125</v>
      </c>
      <c r="E261" s="7">
        <v>4</v>
      </c>
      <c r="F261" s="6" t="str">
        <f>HYPERLINK(".\links\cds\TI-433-cds.txt","TI-433")</f>
        <v>TI-433</v>
      </c>
      <c r="G261" s="6">
        <v>378</v>
      </c>
      <c r="H261" s="6"/>
      <c r="I261" s="6" t="s">
        <v>8</v>
      </c>
      <c r="J261" s="6" t="s">
        <v>6</v>
      </c>
      <c r="K261" s="6">
        <v>0</v>
      </c>
      <c r="L261" s="6">
        <v>2</v>
      </c>
      <c r="M261" s="6">
        <f t="shared" si="14"/>
        <v>-2</v>
      </c>
      <c r="N261" s="6">
        <f t="shared" si="15"/>
        <v>2</v>
      </c>
      <c r="O261" s="6" t="s">
        <v>1170</v>
      </c>
      <c r="P261" s="6" t="s">
        <v>1171</v>
      </c>
      <c r="Q261" s="6"/>
      <c r="R261" s="6"/>
      <c r="S261" s="6"/>
      <c r="T261" s="6" t="str">
        <f>HYPERLINK(".\links\NR-LIGHT\TI-433-NR-LIGHT.txt","AGAP001637-PA")</f>
        <v>AGAP001637-PA</v>
      </c>
      <c r="U261" s="6" t="str">
        <f>HYPERLINK("http://www.ncbi.nlm.nih.gov/sutils/blink.cgi?pid=333470126","4E-006")</f>
        <v>4E-006</v>
      </c>
      <c r="V261" s="6" t="str">
        <f>HYPERLINK("http://www.ncbi.nlm.nih.gov/protein/333470126","gi|333470126")</f>
        <v>gi|333470126</v>
      </c>
      <c r="W261" s="6">
        <v>52.4</v>
      </c>
      <c r="X261" s="6">
        <v>65</v>
      </c>
      <c r="Y261" s="6">
        <v>205</v>
      </c>
      <c r="Z261" s="6">
        <v>39</v>
      </c>
      <c r="AA261" s="6">
        <v>32</v>
      </c>
      <c r="AB261" s="6">
        <v>41</v>
      </c>
      <c r="AC261" s="6">
        <v>7</v>
      </c>
      <c r="AD261" s="6">
        <v>28</v>
      </c>
      <c r="AE261" s="6">
        <v>63</v>
      </c>
      <c r="AF261" s="6">
        <v>1</v>
      </c>
      <c r="AG261" s="6"/>
      <c r="AH261" s="6" t="s">
        <v>13</v>
      </c>
      <c r="AI261" s="6" t="s">
        <v>51</v>
      </c>
      <c r="AJ261" s="6" t="s">
        <v>275</v>
      </c>
      <c r="AK261" s="6" t="s">
        <v>8</v>
      </c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 t="s">
        <v>8</v>
      </c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 t="s">
        <v>8</v>
      </c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 t="s">
        <v>8</v>
      </c>
      <c r="CD261" s="6"/>
      <c r="CE261" s="6"/>
      <c r="CF261" s="6" t="s">
        <v>8</v>
      </c>
      <c r="CG261" s="6"/>
      <c r="CH261" s="6"/>
      <c r="CI261" s="6" t="s">
        <v>8</v>
      </c>
      <c r="CJ261" s="6"/>
      <c r="CK261" s="6" t="s">
        <v>8</v>
      </c>
      <c r="CL261" s="6"/>
      <c r="CM261" s="6" t="s">
        <v>8</v>
      </c>
      <c r="CN261" s="6"/>
      <c r="CO261" s="6" t="s">
        <v>8</v>
      </c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 t="s">
        <v>8</v>
      </c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</row>
    <row r="262" spans="1:120" s="4" customFormat="1">
      <c r="A262" t="str">
        <f>HYPERLINK(".\links\pep\TI-434-pep.txt","TI-434")</f>
        <v>TI-434</v>
      </c>
      <c r="B262">
        <v>434</v>
      </c>
      <c r="C262" t="s">
        <v>18</v>
      </c>
      <c r="D262">
        <v>107</v>
      </c>
      <c r="E262">
        <v>0</v>
      </c>
      <c r="F262" t="str">
        <f>HYPERLINK(".\links\cds\TI-434-cds.txt","TI-434")</f>
        <v>TI-434</v>
      </c>
      <c r="G262">
        <v>324</v>
      </c>
      <c r="H262"/>
      <c r="I262" t="s">
        <v>8</v>
      </c>
      <c r="J262" t="s">
        <v>6</v>
      </c>
      <c r="K262">
        <v>2</v>
      </c>
      <c r="L262">
        <v>0</v>
      </c>
      <c r="M262">
        <f t="shared" si="14"/>
        <v>2</v>
      </c>
      <c r="N262">
        <f t="shared" si="15"/>
        <v>2</v>
      </c>
      <c r="O262" t="s">
        <v>1334</v>
      </c>
      <c r="P262" t="s">
        <v>1208</v>
      </c>
      <c r="Q262" t="str">
        <f>HYPERLINK(".\links\GO\TI-434-GO.txt","GO")</f>
        <v>GO</v>
      </c>
      <c r="R262">
        <v>2.0000000000000002E-5</v>
      </c>
      <c r="S262">
        <v>65.2</v>
      </c>
      <c r="T262" t="str">
        <f>HYPERLINK(".\links\NR-LIGHT\TI-434-NR-LIGHT.txt","defensin 4")</f>
        <v>defensin 4</v>
      </c>
      <c r="U262" t="str">
        <f>HYPERLINK("http://www.ncbi.nlm.nih.gov/sutils/blink.cgi?pid=197281888","1E-045")</f>
        <v>1E-045</v>
      </c>
      <c r="V262" t="str">
        <f>HYPERLINK("http://www.ncbi.nlm.nih.gov/protein/197281888","gi|197281888")</f>
        <v>gi|197281888</v>
      </c>
      <c r="W262">
        <v>183</v>
      </c>
      <c r="X262">
        <v>91</v>
      </c>
      <c r="Y262">
        <v>93</v>
      </c>
      <c r="Z262">
        <v>92</v>
      </c>
      <c r="AA262">
        <v>99</v>
      </c>
      <c r="AB262">
        <v>7</v>
      </c>
      <c r="AC262">
        <v>0</v>
      </c>
      <c r="AD262">
        <v>2</v>
      </c>
      <c r="AE262">
        <v>16</v>
      </c>
      <c r="AF262">
        <v>1</v>
      </c>
      <c r="AG262"/>
      <c r="AH262" t="s">
        <v>13</v>
      </c>
      <c r="AI262" t="s">
        <v>51</v>
      </c>
      <c r="AJ262" t="s">
        <v>285</v>
      </c>
      <c r="AK262" t="str">
        <f>HYPERLINK(".\links\SWISSP\TI-434-SWISSP.txt","Defensin OS=Pyrrhocoris apterus PE=1 SV=1")</f>
        <v>Defensin OS=Pyrrhocoris apterus PE=1 SV=1</v>
      </c>
      <c r="AL262" t="str">
        <f>HYPERLINK("http://www.uniprot.org/uniprot/P37364","1E-013")</f>
        <v>1E-013</v>
      </c>
      <c r="AM262" t="s">
        <v>226</v>
      </c>
      <c r="AN262">
        <v>75.099999999999994</v>
      </c>
      <c r="AO262">
        <v>42</v>
      </c>
      <c r="AP262">
        <v>43</v>
      </c>
      <c r="AQ262">
        <v>69</v>
      </c>
      <c r="AR262">
        <v>100</v>
      </c>
      <c r="AS262">
        <v>13</v>
      </c>
      <c r="AT262">
        <v>0</v>
      </c>
      <c r="AU262">
        <v>1</v>
      </c>
      <c r="AV262">
        <v>65</v>
      </c>
      <c r="AW262">
        <v>1</v>
      </c>
      <c r="AX262" t="s">
        <v>227</v>
      </c>
      <c r="AY262" t="str">
        <f>HYPERLINK(".\links\PREV-RHOD-PEP\TI-434-PREV-RHOD-PEP.txt","Contig17966_73")</f>
        <v>Contig17966_73</v>
      </c>
      <c r="AZ262" s="3">
        <v>2E-45</v>
      </c>
      <c r="BA262" t="s">
        <v>1138</v>
      </c>
      <c r="BB262">
        <v>176</v>
      </c>
      <c r="BC262">
        <v>92</v>
      </c>
      <c r="BD262">
        <v>415</v>
      </c>
      <c r="BE262">
        <v>84</v>
      </c>
      <c r="BF262">
        <v>22</v>
      </c>
      <c r="BG262">
        <v>14</v>
      </c>
      <c r="BH262">
        <v>1</v>
      </c>
      <c r="BI262">
        <v>323</v>
      </c>
      <c r="BJ262">
        <v>16</v>
      </c>
      <c r="BK262">
        <v>1</v>
      </c>
      <c r="BL262" t="s">
        <v>890</v>
      </c>
      <c r="BM262">
        <f>HYPERLINK(".\links\GO\TI-434-GO.txt",0.00002)</f>
        <v>2.0000000000000002E-5</v>
      </c>
      <c r="BN262" t="s">
        <v>8</v>
      </c>
      <c r="BO262" t="s">
        <v>8</v>
      </c>
      <c r="BP262" t="s">
        <v>8</v>
      </c>
      <c r="BQ262" t="s">
        <v>8</v>
      </c>
      <c r="BR262" t="s">
        <v>8</v>
      </c>
      <c r="BS262" t="s">
        <v>861</v>
      </c>
      <c r="BT262" t="s">
        <v>501</v>
      </c>
      <c r="BU262" t="s">
        <v>752</v>
      </c>
      <c r="BV262" t="s">
        <v>862</v>
      </c>
      <c r="BW262">
        <v>2.0000000000000002E-5</v>
      </c>
      <c r="BX262" t="s">
        <v>891</v>
      </c>
      <c r="BY262" t="s">
        <v>581</v>
      </c>
      <c r="BZ262"/>
      <c r="CA262" t="s">
        <v>892</v>
      </c>
      <c r="CB262">
        <v>2.0000000000000002E-5</v>
      </c>
      <c r="CC262" t="s">
        <v>8</v>
      </c>
      <c r="CD262"/>
      <c r="CE262"/>
      <c r="CF262" t="s">
        <v>8</v>
      </c>
      <c r="CG262"/>
      <c r="CH262"/>
      <c r="CI262" t="s">
        <v>8</v>
      </c>
      <c r="CJ262"/>
      <c r="CK262" t="s">
        <v>8</v>
      </c>
      <c r="CL262"/>
      <c r="CM262" t="s">
        <v>8</v>
      </c>
      <c r="CN262"/>
      <c r="CO262" t="s">
        <v>8</v>
      </c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 t="s">
        <v>8</v>
      </c>
      <c r="DD262"/>
      <c r="DE262"/>
      <c r="DF262"/>
      <c r="DG262"/>
      <c r="DH262"/>
      <c r="DI262"/>
      <c r="DJ262"/>
      <c r="DK262"/>
      <c r="DL262"/>
      <c r="DM262"/>
      <c r="DN262"/>
      <c r="DO262"/>
      <c r="DP262"/>
    </row>
    <row r="263" spans="1:120" s="4" customFormat="1">
      <c r="A263" s="6" t="str">
        <f>HYPERLINK(".\links\pep\TI-435-pep.txt","TI-435")</f>
        <v>TI-435</v>
      </c>
      <c r="B263" s="6">
        <v>435</v>
      </c>
      <c r="C263" s="6" t="s">
        <v>24</v>
      </c>
      <c r="D263" s="6">
        <v>102</v>
      </c>
      <c r="E263" s="6">
        <v>0</v>
      </c>
      <c r="F263" s="6" t="str">
        <f>HYPERLINK(".\links\cds\TI-435-cds.txt","TI-435")</f>
        <v>TI-435</v>
      </c>
      <c r="G263" s="6">
        <v>303</v>
      </c>
      <c r="H263" s="6"/>
      <c r="I263" s="6" t="s">
        <v>8</v>
      </c>
      <c r="J263" s="6" t="s">
        <v>8</v>
      </c>
      <c r="K263" s="6">
        <v>0</v>
      </c>
      <c r="L263" s="6">
        <v>2</v>
      </c>
      <c r="M263" s="6">
        <f t="shared" si="14"/>
        <v>-2</v>
      </c>
      <c r="N263" s="6">
        <f t="shared" si="15"/>
        <v>2</v>
      </c>
      <c r="O263" s="6" t="s">
        <v>1170</v>
      </c>
      <c r="P263" s="6" t="s">
        <v>1171</v>
      </c>
      <c r="Q263" s="6"/>
      <c r="R263" s="6"/>
      <c r="S263" s="6"/>
      <c r="T263" s="6" t="str">
        <f>HYPERLINK(".\links\NR-LIGHT\TI-435-NR-LIGHT.txt","synaptic vesicle glycoprotein 2B-like isoform 1")</f>
        <v>synaptic vesicle glycoprotein 2B-like isoform 1</v>
      </c>
      <c r="U263" s="6" t="str">
        <f>HYPERLINK("http://www.ncbi.nlm.nih.gov/sutils/blink.cgi?pid=66499643","7.7")</f>
        <v>7.7</v>
      </c>
      <c r="V263" s="6" t="str">
        <f>HYPERLINK("http://www.ncbi.nlm.nih.gov/protein/66499643","gi|66499643")</f>
        <v>gi|66499643</v>
      </c>
      <c r="W263" s="6">
        <v>31.6</v>
      </c>
      <c r="X263" s="6">
        <v>93</v>
      </c>
      <c r="Y263" s="6">
        <v>550</v>
      </c>
      <c r="Z263" s="6">
        <v>26</v>
      </c>
      <c r="AA263" s="6">
        <v>17</v>
      </c>
      <c r="AB263" s="6">
        <v>71</v>
      </c>
      <c r="AC263" s="6">
        <v>5</v>
      </c>
      <c r="AD263" s="6">
        <v>256</v>
      </c>
      <c r="AE263" s="6">
        <v>4</v>
      </c>
      <c r="AF263" s="6">
        <v>1</v>
      </c>
      <c r="AG263" s="6"/>
      <c r="AH263" s="6" t="s">
        <v>13</v>
      </c>
      <c r="AI263" s="6" t="s">
        <v>51</v>
      </c>
      <c r="AJ263" s="6" t="s">
        <v>83</v>
      </c>
      <c r="AK263" s="6" t="s">
        <v>8</v>
      </c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 t="s">
        <v>8</v>
      </c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 t="s">
        <v>8</v>
      </c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 t="s">
        <v>8</v>
      </c>
      <c r="CD263" s="6"/>
      <c r="CE263" s="6"/>
      <c r="CF263" s="6" t="s">
        <v>8</v>
      </c>
      <c r="CG263" s="6"/>
      <c r="CH263" s="6"/>
      <c r="CI263" s="6" t="s">
        <v>8</v>
      </c>
      <c r="CJ263" s="6"/>
      <c r="CK263" s="6" t="s">
        <v>8</v>
      </c>
      <c r="CL263" s="6"/>
      <c r="CM263" s="6" t="s">
        <v>8</v>
      </c>
      <c r="CN263" s="6"/>
      <c r="CO263" s="6" t="s">
        <v>8</v>
      </c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 t="s">
        <v>8</v>
      </c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</row>
    <row r="264" spans="1:120" s="4" customFormat="1">
      <c r="A264" s="6" t="str">
        <f>HYPERLINK(".\links\pep\TI-437-pep.txt","TI-437")</f>
        <v>TI-437</v>
      </c>
      <c r="B264" s="6">
        <v>437</v>
      </c>
      <c r="C264" s="6" t="s">
        <v>12</v>
      </c>
      <c r="D264" s="6">
        <v>93</v>
      </c>
      <c r="E264" s="6">
        <v>0</v>
      </c>
      <c r="F264" s="6" t="str">
        <f>HYPERLINK(".\links\cds\TI-437-cds.txt","TI-437")</f>
        <v>TI-437</v>
      </c>
      <c r="G264" s="6">
        <v>282</v>
      </c>
      <c r="H264" s="6"/>
      <c r="I264" s="6" t="s">
        <v>8</v>
      </c>
      <c r="J264" s="6" t="s">
        <v>6</v>
      </c>
      <c r="K264" s="6">
        <v>0</v>
      </c>
      <c r="L264" s="6">
        <v>1</v>
      </c>
      <c r="M264" s="6">
        <f t="shared" si="14"/>
        <v>-1</v>
      </c>
      <c r="N264" s="6">
        <f t="shared" si="15"/>
        <v>1</v>
      </c>
      <c r="O264" s="6" t="s">
        <v>1170</v>
      </c>
      <c r="P264" s="6" t="s">
        <v>1171</v>
      </c>
      <c r="Q264" s="6"/>
      <c r="R264" s="6"/>
      <c r="S264" s="6"/>
      <c r="T264" s="6" t="str">
        <f>HYPERLINK(".\links\NR-LIGHT\TI-437-NR-LIGHT.txt","obstructor-J")</f>
        <v>obstructor-J</v>
      </c>
      <c r="U264" s="6" t="str">
        <f>HYPERLINK("http://www.ncbi.nlm.nih.gov/sutils/blink.cgi?pid=24667196","2.1")</f>
        <v>2.1</v>
      </c>
      <c r="V264" s="6" t="str">
        <f>HYPERLINK("http://www.ncbi.nlm.nih.gov/protein/24667196","gi|24667196")</f>
        <v>gi|24667196</v>
      </c>
      <c r="W264" s="6">
        <v>33.5</v>
      </c>
      <c r="X264" s="6">
        <v>44</v>
      </c>
      <c r="Y264" s="6">
        <v>353</v>
      </c>
      <c r="Z264" s="6">
        <v>37</v>
      </c>
      <c r="AA264" s="6">
        <v>13</v>
      </c>
      <c r="AB264" s="6">
        <v>28</v>
      </c>
      <c r="AC264" s="6">
        <v>1</v>
      </c>
      <c r="AD264" s="6">
        <v>89</v>
      </c>
      <c r="AE264" s="6">
        <v>39</v>
      </c>
      <c r="AF264" s="6">
        <v>1</v>
      </c>
      <c r="AG264" s="6"/>
      <c r="AH264" s="6" t="s">
        <v>13</v>
      </c>
      <c r="AI264" s="6" t="s">
        <v>51</v>
      </c>
      <c r="AJ264" s="6" t="s">
        <v>52</v>
      </c>
      <c r="AK264" s="6" t="s">
        <v>8</v>
      </c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 t="str">
        <f>HYPERLINK(".\links\PREV-RHOD-PEP\TI-437-PREV-RHOD-PEP.txt","Contig17812_34")</f>
        <v>Contig17812_34</v>
      </c>
      <c r="AZ264" s="8">
        <v>7.9999999999999998E-16</v>
      </c>
      <c r="BA264" s="6" t="s">
        <v>1062</v>
      </c>
      <c r="BB264" s="6">
        <v>78.599999999999994</v>
      </c>
      <c r="BC264" s="6">
        <v>268</v>
      </c>
      <c r="BD264" s="6">
        <v>321</v>
      </c>
      <c r="BE264" s="6">
        <v>67</v>
      </c>
      <c r="BF264" s="6">
        <v>84</v>
      </c>
      <c r="BG264" s="6">
        <v>17</v>
      </c>
      <c r="BH264" s="6">
        <v>0</v>
      </c>
      <c r="BI264" s="6">
        <v>19</v>
      </c>
      <c r="BJ264" s="6">
        <v>38</v>
      </c>
      <c r="BK264" s="6">
        <v>2</v>
      </c>
      <c r="BL264" s="6" t="s">
        <v>8</v>
      </c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 t="s">
        <v>8</v>
      </c>
      <c r="CD264" s="6"/>
      <c r="CE264" s="6"/>
      <c r="CF264" s="6" t="s">
        <v>8</v>
      </c>
      <c r="CG264" s="6"/>
      <c r="CH264" s="6"/>
      <c r="CI264" s="6" t="s">
        <v>8</v>
      </c>
      <c r="CJ264" s="6"/>
      <c r="CK264" s="6" t="s">
        <v>8</v>
      </c>
      <c r="CL264" s="6"/>
      <c r="CM264" s="6" t="s">
        <v>8</v>
      </c>
      <c r="CN264" s="6"/>
      <c r="CO264" s="6" t="s">
        <v>8</v>
      </c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 t="s">
        <v>8</v>
      </c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</row>
    <row r="265" spans="1:120" s="4" customFormat="1">
      <c r="A265" t="str">
        <f>HYPERLINK(".\links\pep\TI-438-pep.txt","TI-438")</f>
        <v>TI-438</v>
      </c>
      <c r="B265">
        <v>438</v>
      </c>
      <c r="C265" t="s">
        <v>12</v>
      </c>
      <c r="D265">
        <v>55</v>
      </c>
      <c r="E265" s="2">
        <v>12.727270000000001</v>
      </c>
      <c r="F265" t="str">
        <f>HYPERLINK(".\links\cds\TI-438-cds.txt","TI-438")</f>
        <v>TI-438</v>
      </c>
      <c r="G265">
        <v>168</v>
      </c>
      <c r="H265" t="s">
        <v>24</v>
      </c>
      <c r="I265" t="s">
        <v>8</v>
      </c>
      <c r="J265" t="s">
        <v>6</v>
      </c>
      <c r="K265">
        <v>1</v>
      </c>
      <c r="L265">
        <v>0</v>
      </c>
      <c r="M265">
        <f t="shared" si="14"/>
        <v>1</v>
      </c>
      <c r="N265">
        <f t="shared" si="15"/>
        <v>1</v>
      </c>
      <c r="O265" t="s">
        <v>1331</v>
      </c>
      <c r="P265" t="s">
        <v>1185</v>
      </c>
      <c r="Q265" t="str">
        <f>HYPERLINK(".\links\NR-LIGHT\TI-438-NR-LIGHT.txt","NR-LIGHT")</f>
        <v>NR-LIGHT</v>
      </c>
      <c r="R265" s="3">
        <v>3.9999999999999999E-16</v>
      </c>
      <c r="S265">
        <v>24.6</v>
      </c>
      <c r="T265" t="str">
        <f>HYPERLINK(".\links\NR-LIGHT\TI-438-NR-LIGHT.txt","cytochrome oxidase subunit 2")</f>
        <v>cytochrome oxidase subunit 2</v>
      </c>
      <c r="U265" t="str">
        <f>HYPERLINK("http://www.ncbi.nlm.nih.gov/sutils/blink.cgi?pid=149689096","4E-016")</f>
        <v>4E-016</v>
      </c>
      <c r="V265" t="str">
        <f>HYPERLINK("http://www.ncbi.nlm.nih.gov/protein/149689096","gi|149689096")</f>
        <v>gi|149689096</v>
      </c>
      <c r="W265">
        <v>85.9</v>
      </c>
      <c r="X265">
        <v>54</v>
      </c>
      <c r="Y265">
        <v>223</v>
      </c>
      <c r="Z265">
        <v>80</v>
      </c>
      <c r="AA265">
        <v>25</v>
      </c>
      <c r="AB265">
        <v>11</v>
      </c>
      <c r="AC265">
        <v>0</v>
      </c>
      <c r="AD265">
        <v>46</v>
      </c>
      <c r="AE265">
        <v>1</v>
      </c>
      <c r="AF265">
        <v>1</v>
      </c>
      <c r="AG265"/>
      <c r="AH265" t="s">
        <v>13</v>
      </c>
      <c r="AI265" t="s">
        <v>51</v>
      </c>
      <c r="AJ265" t="s">
        <v>273</v>
      </c>
      <c r="AK265" t="str">
        <f>HYPERLINK(".\links\SWISSP\TI-438-SWISSP.txt","Cytochrome c oxidase subunit 2 OS=Simulium vittatum GN=COII PE=3 SV=1")</f>
        <v>Cytochrome c oxidase subunit 2 OS=Simulium vittatum GN=COII PE=3 SV=1</v>
      </c>
      <c r="AL265" t="str">
        <f>HYPERLINK("http://www.uniprot.org/uniprot/P98021","7E-013")</f>
        <v>7E-013</v>
      </c>
      <c r="AM265" t="s">
        <v>65</v>
      </c>
      <c r="AN265">
        <v>72.400000000000006</v>
      </c>
      <c r="AO265">
        <v>54</v>
      </c>
      <c r="AP265">
        <v>229</v>
      </c>
      <c r="AQ265">
        <v>61</v>
      </c>
      <c r="AR265">
        <v>24</v>
      </c>
      <c r="AS265">
        <v>21</v>
      </c>
      <c r="AT265">
        <v>0</v>
      </c>
      <c r="AU265">
        <v>49</v>
      </c>
      <c r="AV265">
        <v>1</v>
      </c>
      <c r="AW265">
        <v>1</v>
      </c>
      <c r="AX265" t="s">
        <v>66</v>
      </c>
      <c r="AY265" t="s">
        <v>8</v>
      </c>
      <c r="AZ265"/>
      <c r="BA265"/>
      <c r="BB265"/>
      <c r="BC265"/>
      <c r="BD265"/>
      <c r="BE265"/>
      <c r="BF265"/>
      <c r="BG265"/>
      <c r="BH265"/>
      <c r="BI265"/>
      <c r="BJ265"/>
      <c r="BK265"/>
      <c r="BL265" t="s">
        <v>372</v>
      </c>
      <c r="BM265">
        <f>HYPERLINK(".\links\GO\TI-438-GO.txt",0.0000000003)</f>
        <v>3E-10</v>
      </c>
      <c r="BN265" t="s">
        <v>373</v>
      </c>
      <c r="BO265" t="s">
        <v>373</v>
      </c>
      <c r="BP265"/>
      <c r="BQ265" t="s">
        <v>374</v>
      </c>
      <c r="BR265">
        <v>3E-10</v>
      </c>
      <c r="BS265" t="s">
        <v>375</v>
      </c>
      <c r="BT265" t="s">
        <v>375</v>
      </c>
      <c r="BU265"/>
      <c r="BV265" t="s">
        <v>376</v>
      </c>
      <c r="BW265">
        <v>3E-10</v>
      </c>
      <c r="BX265" t="s">
        <v>377</v>
      </c>
      <c r="BY265" t="s">
        <v>373</v>
      </c>
      <c r="BZ265"/>
      <c r="CA265" t="s">
        <v>378</v>
      </c>
      <c r="CB265">
        <v>3E-10</v>
      </c>
      <c r="CC265" t="s">
        <v>8</v>
      </c>
      <c r="CD265"/>
      <c r="CE265"/>
      <c r="CF265" t="s">
        <v>8</v>
      </c>
      <c r="CG265"/>
      <c r="CH265"/>
      <c r="CI265" t="s">
        <v>8</v>
      </c>
      <c r="CJ265"/>
      <c r="CK265" t="s">
        <v>8</v>
      </c>
      <c r="CL265"/>
      <c r="CM265" t="s">
        <v>8</v>
      </c>
      <c r="CN265"/>
      <c r="CO265" t="str">
        <f>HYPERLINK(".\links\MIT-PLA\TI-438-MIT-PLA.txt","Triatoma infestans clone TI-43 cytochrome oxidase subunit 2 mRNA, complete cds;")</f>
        <v>Triatoma infestans clone TI-43 cytochrome oxidase subunit 2 mRNA, complete cds;</v>
      </c>
      <c r="CP265" t="str">
        <f>HYPERLINK("http://www.ncbi.nlm.nih.gov/entrez/viewer.fcgi?db=nucleotide&amp;val=149689095","8E-045")</f>
        <v>8E-045</v>
      </c>
      <c r="CQ265" t="str">
        <f>HYPERLINK("http://www.ncbi.nlm.nih.gov/entrez/viewer.fcgi?db=nucleotide&amp;val=149689095","gi|149689095")</f>
        <v>gi|149689095</v>
      </c>
      <c r="CR265">
        <v>174</v>
      </c>
      <c r="CS265">
        <v>115</v>
      </c>
      <c r="CT265">
        <v>672</v>
      </c>
      <c r="CU265">
        <v>93</v>
      </c>
      <c r="CV265">
        <v>17</v>
      </c>
      <c r="CW265">
        <v>7</v>
      </c>
      <c r="CX265">
        <v>0</v>
      </c>
      <c r="CY265">
        <v>188</v>
      </c>
      <c r="CZ265">
        <v>53</v>
      </c>
      <c r="DA265">
        <v>1</v>
      </c>
      <c r="DB265" t="s">
        <v>51</v>
      </c>
      <c r="DC265" t="s">
        <v>8</v>
      </c>
      <c r="DD265"/>
      <c r="DE265"/>
      <c r="DF265"/>
      <c r="DG265"/>
      <c r="DH265"/>
      <c r="DI265"/>
      <c r="DJ265"/>
      <c r="DK265"/>
      <c r="DL265"/>
      <c r="DM265"/>
      <c r="DN265"/>
      <c r="DO265"/>
      <c r="DP265"/>
    </row>
    <row r="266" spans="1:120" s="4" customFormat="1">
      <c r="A266" t="str">
        <f>HYPERLINK(".\links\pep\TI-439-pep.txt","TI-439")</f>
        <v>TI-439</v>
      </c>
      <c r="B266">
        <v>439</v>
      </c>
      <c r="C266" t="s">
        <v>22</v>
      </c>
      <c r="D266">
        <v>206</v>
      </c>
      <c r="E266">
        <v>0</v>
      </c>
      <c r="F266" t="str">
        <f>HYPERLINK(".\links\cds\TI-439-cds.txt","TI-439")</f>
        <v>TI-439</v>
      </c>
      <c r="G266">
        <v>621</v>
      </c>
      <c r="H266"/>
      <c r="I266" t="s">
        <v>8</v>
      </c>
      <c r="J266" t="s">
        <v>6</v>
      </c>
      <c r="K266">
        <v>2</v>
      </c>
      <c r="L266">
        <v>1</v>
      </c>
      <c r="M266">
        <f t="shared" si="14"/>
        <v>1</v>
      </c>
      <c r="N266">
        <f t="shared" si="15"/>
        <v>1</v>
      </c>
      <c r="O266" t="s">
        <v>1195</v>
      </c>
      <c r="P266" t="s">
        <v>1196</v>
      </c>
      <c r="Q266" t="str">
        <f>HYPERLINK(".\links\NR-LIGHT\TI-439-NR-LIGHT.txt","NR-LIGHT")</f>
        <v>NR-LIGHT</v>
      </c>
      <c r="R266" s="3">
        <v>1.9999999999999999E-77</v>
      </c>
      <c r="S266">
        <v>8.9</v>
      </c>
      <c r="T266" t="str">
        <f>HYPERLINK(".\links\NR-LIGHT\TI-439-NR-LIGHT.txt","nonstructural protein precursor")</f>
        <v>nonstructural protein precursor</v>
      </c>
      <c r="U266" t="str">
        <f>HYPERLINK("http://www.ncbi.nlm.nih.gov/sutils/blink.cgi?pid=20451029","2E-077")</f>
        <v>2E-077</v>
      </c>
      <c r="V266" t="str">
        <f>HYPERLINK("http://www.ncbi.nlm.nih.gov/protein/20451029","gi|20451029")</f>
        <v>gi|20451029</v>
      </c>
      <c r="W266">
        <v>290</v>
      </c>
      <c r="X266">
        <v>160</v>
      </c>
      <c r="Y266">
        <v>1795</v>
      </c>
      <c r="Z266">
        <v>89</v>
      </c>
      <c r="AA266">
        <v>9</v>
      </c>
      <c r="AB266">
        <v>17</v>
      </c>
      <c r="AC266">
        <v>0</v>
      </c>
      <c r="AD266">
        <v>841</v>
      </c>
      <c r="AE266">
        <v>2</v>
      </c>
      <c r="AF266">
        <v>1</v>
      </c>
      <c r="AG266"/>
      <c r="AH266" t="s">
        <v>13</v>
      </c>
      <c r="AI266" t="s">
        <v>51</v>
      </c>
      <c r="AJ266" t="s">
        <v>269</v>
      </c>
      <c r="AK266" t="s">
        <v>8</v>
      </c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 t="s">
        <v>8</v>
      </c>
      <c r="AZ266"/>
      <c r="BA266"/>
      <c r="BB266"/>
      <c r="BC266"/>
      <c r="BD266"/>
      <c r="BE266"/>
      <c r="BF266"/>
      <c r="BG266"/>
      <c r="BH266"/>
      <c r="BI266"/>
      <c r="BJ266"/>
      <c r="BK266"/>
      <c r="BL266" t="s">
        <v>8</v>
      </c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 t="s">
        <v>8</v>
      </c>
      <c r="CD266"/>
      <c r="CE266"/>
      <c r="CF266" t="s">
        <v>8</v>
      </c>
      <c r="CG266"/>
      <c r="CH266"/>
      <c r="CI266" t="s">
        <v>8</v>
      </c>
      <c r="CJ266"/>
      <c r="CK266" t="s">
        <v>8</v>
      </c>
      <c r="CL266"/>
      <c r="CM266" t="s">
        <v>8</v>
      </c>
      <c r="CN266"/>
      <c r="CO266" t="s">
        <v>8</v>
      </c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 t="s">
        <v>8</v>
      </c>
      <c r="DD266"/>
      <c r="DE266"/>
      <c r="DF266"/>
      <c r="DG266"/>
      <c r="DH266"/>
      <c r="DI266"/>
      <c r="DJ266"/>
      <c r="DK266"/>
      <c r="DL266"/>
      <c r="DM266"/>
      <c r="DN266"/>
      <c r="DO266"/>
      <c r="DP266"/>
    </row>
    <row r="267" spans="1:120" s="4" customFormat="1">
      <c r="A267" t="str">
        <f>HYPERLINK(".\links\pep\TI-440-pep.txt","TI-440")</f>
        <v>TI-440</v>
      </c>
      <c r="B267">
        <v>440</v>
      </c>
      <c r="C267" t="s">
        <v>13</v>
      </c>
      <c r="D267">
        <v>248</v>
      </c>
      <c r="E267" s="2">
        <v>5.6451609999999999</v>
      </c>
      <c r="F267" t="str">
        <f>HYPERLINK(".\links\cds\TI-440-cds.txt","TI-440")</f>
        <v>TI-440</v>
      </c>
      <c r="G267">
        <v>742</v>
      </c>
      <c r="H267" t="s">
        <v>24</v>
      </c>
      <c r="I267" t="s">
        <v>8</v>
      </c>
      <c r="J267" t="s">
        <v>8</v>
      </c>
      <c r="K267">
        <v>0</v>
      </c>
      <c r="L267">
        <v>1</v>
      </c>
      <c r="M267">
        <f t="shared" si="14"/>
        <v>-1</v>
      </c>
      <c r="N267">
        <f t="shared" si="15"/>
        <v>1</v>
      </c>
      <c r="O267" t="s">
        <v>1335</v>
      </c>
      <c r="P267" t="s">
        <v>1176</v>
      </c>
      <c r="Q267" t="str">
        <f>HYPERLINK(".\links\NR-LIGHT\TI-440-NR-LIGHT.txt","NR-LIGHT")</f>
        <v>NR-LIGHT</v>
      </c>
      <c r="R267" s="3">
        <v>3E-49</v>
      </c>
      <c r="S267">
        <v>41.7</v>
      </c>
      <c r="T267" t="str">
        <f>HYPERLINK(".\links\NR-LIGHT\TI-440-NR-LIGHT.txt","probable maltase H")</f>
        <v>probable maltase H</v>
      </c>
      <c r="U267" t="str">
        <f>HYPERLINK("http://www.ncbi.nlm.nih.gov/sutils/blink.cgi?pid=193709215","3E-049")</f>
        <v>3E-049</v>
      </c>
      <c r="V267" t="str">
        <f>HYPERLINK("http://www.ncbi.nlm.nih.gov/protein/193709215","gi|193709215")</f>
        <v>gi|193709215</v>
      </c>
      <c r="W267">
        <v>197</v>
      </c>
      <c r="X267">
        <v>256</v>
      </c>
      <c r="Y267">
        <v>621</v>
      </c>
      <c r="Z267">
        <v>40</v>
      </c>
      <c r="AA267">
        <v>41</v>
      </c>
      <c r="AB267">
        <v>154</v>
      </c>
      <c r="AC267">
        <v>14</v>
      </c>
      <c r="AD267">
        <v>131</v>
      </c>
      <c r="AE267">
        <v>1</v>
      </c>
      <c r="AF267">
        <v>1</v>
      </c>
      <c r="AG267"/>
      <c r="AH267" t="s">
        <v>13</v>
      </c>
      <c r="AI267" t="s">
        <v>51</v>
      </c>
      <c r="AJ267" t="s">
        <v>264</v>
      </c>
      <c r="AK267" t="str">
        <f>HYPERLINK(".\links\SWISSP\TI-440-SWISSP.txt","Probable maltase OS=Aedes aegypti GN=MAL1 PE=2 SV=1")</f>
        <v>Probable maltase OS=Aedes aegypti GN=MAL1 PE=2 SV=1</v>
      </c>
      <c r="AL267" t="str">
        <f>HYPERLINK("http://www.uniprot.org/uniprot/P13080","3E-047")</f>
        <v>3E-047</v>
      </c>
      <c r="AM267" t="s">
        <v>75</v>
      </c>
      <c r="AN267">
        <v>188</v>
      </c>
      <c r="AO267">
        <v>258</v>
      </c>
      <c r="AP267">
        <v>579</v>
      </c>
      <c r="AQ267">
        <v>38</v>
      </c>
      <c r="AR267">
        <v>45</v>
      </c>
      <c r="AS267">
        <v>159</v>
      </c>
      <c r="AT267">
        <v>11</v>
      </c>
      <c r="AU267">
        <v>118</v>
      </c>
      <c r="AV267">
        <v>1</v>
      </c>
      <c r="AW267">
        <v>1</v>
      </c>
      <c r="AX267" t="s">
        <v>76</v>
      </c>
      <c r="AY267" t="str">
        <f>HYPERLINK(".\links\PREV-RHOD-PEP\TI-440-PREV-RHOD-PEP.txt","Contig17590_29")</f>
        <v>Contig17590_29</v>
      </c>
      <c r="AZ267" s="3">
        <v>3.9999999999999998E-98</v>
      </c>
      <c r="BA267" t="s">
        <v>1001</v>
      </c>
      <c r="BB267">
        <v>353</v>
      </c>
      <c r="BC267">
        <v>246</v>
      </c>
      <c r="BD267">
        <v>566</v>
      </c>
      <c r="BE267">
        <v>68</v>
      </c>
      <c r="BF267">
        <v>44</v>
      </c>
      <c r="BG267">
        <v>77</v>
      </c>
      <c r="BH267">
        <v>0</v>
      </c>
      <c r="BI267">
        <v>123</v>
      </c>
      <c r="BJ267">
        <v>1</v>
      </c>
      <c r="BK267">
        <v>1</v>
      </c>
      <c r="BL267" t="s">
        <v>404</v>
      </c>
      <c r="BM267">
        <f>HYPERLINK(".\links\GO\TI-440-GO.txt",5E-45)</f>
        <v>4.9999999999999998E-45</v>
      </c>
      <c r="BN267" t="s">
        <v>405</v>
      </c>
      <c r="BO267" t="s">
        <v>340</v>
      </c>
      <c r="BP267" t="s">
        <v>341</v>
      </c>
      <c r="BQ267" t="s">
        <v>406</v>
      </c>
      <c r="BR267" s="3">
        <v>8.9999999999999998E-33</v>
      </c>
      <c r="BS267" t="s">
        <v>407</v>
      </c>
      <c r="BT267" t="s">
        <v>323</v>
      </c>
      <c r="BU267" t="s">
        <v>334</v>
      </c>
      <c r="BV267" t="s">
        <v>408</v>
      </c>
      <c r="BW267" s="3">
        <v>8.9999999999999998E-33</v>
      </c>
      <c r="BX267" t="s">
        <v>409</v>
      </c>
      <c r="BY267" t="s">
        <v>340</v>
      </c>
      <c r="BZ267" t="s">
        <v>341</v>
      </c>
      <c r="CA267" t="s">
        <v>410</v>
      </c>
      <c r="CB267" s="3">
        <v>8.9999999999999998E-33</v>
      </c>
      <c r="CC267" t="s">
        <v>8</v>
      </c>
      <c r="CD267"/>
      <c r="CE267"/>
      <c r="CF267" t="s">
        <v>8</v>
      </c>
      <c r="CG267"/>
      <c r="CH267"/>
      <c r="CI267" t="s">
        <v>8</v>
      </c>
      <c r="CJ267"/>
      <c r="CK267" t="s">
        <v>8</v>
      </c>
      <c r="CL267"/>
      <c r="CM267" t="s">
        <v>8</v>
      </c>
      <c r="CN267"/>
      <c r="CO267" t="s">
        <v>8</v>
      </c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 t="s">
        <v>8</v>
      </c>
      <c r="DD267"/>
      <c r="DE267"/>
      <c r="DF267"/>
      <c r="DG267"/>
      <c r="DH267"/>
      <c r="DI267"/>
      <c r="DJ267"/>
      <c r="DK267"/>
      <c r="DL267"/>
      <c r="DM267"/>
      <c r="DN267"/>
      <c r="DO267"/>
      <c r="DP267"/>
    </row>
    <row r="268" spans="1:120" s="4" customFormat="1">
      <c r="A268" t="str">
        <f>HYPERLINK(".\links\pep\TI-441-pep.txt","TI-441")</f>
        <v>TI-441</v>
      </c>
      <c r="B268">
        <v>441</v>
      </c>
      <c r="C268" t="s">
        <v>22</v>
      </c>
      <c r="D268">
        <v>212</v>
      </c>
      <c r="E268">
        <v>0</v>
      </c>
      <c r="F268" t="str">
        <f>HYPERLINK(".\links\cds\TI-441-cds.txt","TI-441")</f>
        <v>TI-441</v>
      </c>
      <c r="G268">
        <v>639</v>
      </c>
      <c r="H268"/>
      <c r="I268" t="s">
        <v>8</v>
      </c>
      <c r="J268" t="s">
        <v>6</v>
      </c>
      <c r="K268">
        <v>1</v>
      </c>
      <c r="L268">
        <v>0</v>
      </c>
      <c r="M268">
        <f t="shared" si="14"/>
        <v>1</v>
      </c>
      <c r="N268">
        <f t="shared" si="15"/>
        <v>1</v>
      </c>
      <c r="O268" t="s">
        <v>1336</v>
      </c>
      <c r="P268" t="s">
        <v>1184</v>
      </c>
      <c r="Q268" t="str">
        <f>HYPERLINK(".\links\NR-LIGHT\TI-441-NR-LIGHT.txt","NR-LIGHT")</f>
        <v>NR-LIGHT</v>
      </c>
      <c r="R268" s="3">
        <v>2E-55</v>
      </c>
      <c r="S268">
        <v>58.3</v>
      </c>
      <c r="T268" t="str">
        <f>HYPERLINK(".\links\NR-LIGHT\TI-441-NR-LIGHT.txt","proteasome subunit alpha type, putative")</f>
        <v>proteasome subunit alpha type, putative</v>
      </c>
      <c r="U268" t="str">
        <f>HYPERLINK("http://www.ncbi.nlm.nih.gov/sutils/blink.cgi?pid=242003283","2E-055")</f>
        <v>2E-055</v>
      </c>
      <c r="V268" t="str">
        <f>HYPERLINK("http://www.ncbi.nlm.nih.gov/protein/242003283","gi|242003283")</f>
        <v>gi|242003283</v>
      </c>
      <c r="W268">
        <v>217</v>
      </c>
      <c r="X268">
        <v>169</v>
      </c>
      <c r="Y268">
        <v>293</v>
      </c>
      <c r="Z268">
        <v>59</v>
      </c>
      <c r="AA268">
        <v>58</v>
      </c>
      <c r="AB268">
        <v>69</v>
      </c>
      <c r="AC268">
        <v>1</v>
      </c>
      <c r="AD268">
        <v>84</v>
      </c>
      <c r="AE268">
        <v>1</v>
      </c>
      <c r="AF268">
        <v>1</v>
      </c>
      <c r="AG268"/>
      <c r="AH268" t="s">
        <v>13</v>
      </c>
      <c r="AI268" t="s">
        <v>51</v>
      </c>
      <c r="AJ268" t="s">
        <v>268</v>
      </c>
      <c r="AK268" t="str">
        <f>HYPERLINK(".\links\SWISSP\TI-441-SWISSP.txt","Proteasome subunit alpha type-1 OS=Dictyostelium discoideum GN=psmA1 PE=3 SV=1")</f>
        <v>Proteasome subunit alpha type-1 OS=Dictyostelium discoideum GN=psmA1 PE=3 SV=1</v>
      </c>
      <c r="AL268" t="str">
        <f>HYPERLINK("http://www.uniprot.org/uniprot/Q27562","2E-045")</f>
        <v>2E-045</v>
      </c>
      <c r="AM268" t="s">
        <v>228</v>
      </c>
      <c r="AN268">
        <v>182</v>
      </c>
      <c r="AO268">
        <v>170</v>
      </c>
      <c r="AP268">
        <v>248</v>
      </c>
      <c r="AQ268">
        <v>53</v>
      </c>
      <c r="AR268">
        <v>69</v>
      </c>
      <c r="AS268">
        <v>80</v>
      </c>
      <c r="AT268">
        <v>2</v>
      </c>
      <c r="AU268">
        <v>71</v>
      </c>
      <c r="AV268">
        <v>1</v>
      </c>
      <c r="AW268">
        <v>1</v>
      </c>
      <c r="AX268" t="s">
        <v>229</v>
      </c>
      <c r="AY268" t="str">
        <f>HYPERLINK(".\links\PREV-RHOD-PEP\TI-441-PREV-RHOD-PEP.txt","Contig4158_3")</f>
        <v>Contig4158_3</v>
      </c>
      <c r="AZ268" s="3">
        <v>9.9999999999999999E-93</v>
      </c>
      <c r="BA268" t="s">
        <v>1139</v>
      </c>
      <c r="BB268">
        <v>334</v>
      </c>
      <c r="BC268">
        <v>206</v>
      </c>
      <c r="BD268">
        <v>273</v>
      </c>
      <c r="BE268">
        <v>79</v>
      </c>
      <c r="BF268">
        <v>76</v>
      </c>
      <c r="BG268">
        <v>43</v>
      </c>
      <c r="BH268">
        <v>0</v>
      </c>
      <c r="BI268">
        <v>46</v>
      </c>
      <c r="BJ268">
        <v>1</v>
      </c>
      <c r="BK268">
        <v>1</v>
      </c>
      <c r="BL268" t="s">
        <v>893</v>
      </c>
      <c r="BM268">
        <f>HYPERLINK(".\links\GO\TI-441-GO.txt",9E-47)</f>
        <v>9E-47</v>
      </c>
      <c r="BN268" t="s">
        <v>455</v>
      </c>
      <c r="BO268" t="s">
        <v>345</v>
      </c>
      <c r="BP268" t="s">
        <v>349</v>
      </c>
      <c r="BQ268" t="s">
        <v>456</v>
      </c>
      <c r="BR268" s="3">
        <v>4.9999999999999999E-46</v>
      </c>
      <c r="BS268" t="s">
        <v>356</v>
      </c>
      <c r="BT268" t="s">
        <v>323</v>
      </c>
      <c r="BU268" t="s">
        <v>334</v>
      </c>
      <c r="BV268" t="s">
        <v>357</v>
      </c>
      <c r="BW268" s="3">
        <v>4.9999999999999999E-46</v>
      </c>
      <c r="BX268" t="s">
        <v>495</v>
      </c>
      <c r="BY268" t="s">
        <v>345</v>
      </c>
      <c r="BZ268" t="s">
        <v>349</v>
      </c>
      <c r="CA268" t="s">
        <v>496</v>
      </c>
      <c r="CB268" s="3">
        <v>4.9999999999999999E-46</v>
      </c>
      <c r="CC268" t="s">
        <v>8</v>
      </c>
      <c r="CD268"/>
      <c r="CE268"/>
      <c r="CF268" t="s">
        <v>8</v>
      </c>
      <c r="CG268"/>
      <c r="CH268"/>
      <c r="CI268" t="s">
        <v>8</v>
      </c>
      <c r="CJ268"/>
      <c r="CK268" t="s">
        <v>8</v>
      </c>
      <c r="CL268"/>
      <c r="CM268" t="s">
        <v>8</v>
      </c>
      <c r="CN268"/>
      <c r="CO268" t="s">
        <v>8</v>
      </c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 t="s">
        <v>8</v>
      </c>
      <c r="DD268"/>
      <c r="DE268"/>
      <c r="DF268"/>
      <c r="DG268"/>
      <c r="DH268"/>
      <c r="DI268"/>
      <c r="DJ268"/>
      <c r="DK268"/>
      <c r="DL268"/>
      <c r="DM268"/>
      <c r="DN268"/>
      <c r="DO268"/>
      <c r="DP268"/>
    </row>
    <row r="269" spans="1:120" s="4" customFormat="1">
      <c r="A269" t="str">
        <f>HYPERLINK(".\links\pep\TI-445-pep.txt","TI-445")</f>
        <v>TI-445</v>
      </c>
      <c r="B269">
        <v>445</v>
      </c>
      <c r="C269" t="s">
        <v>20</v>
      </c>
      <c r="D269">
        <v>120</v>
      </c>
      <c r="E269">
        <v>0</v>
      </c>
      <c r="F269" t="str">
        <f>HYPERLINK(".\links\cds\TI-445-cds.txt","TI-445")</f>
        <v>TI-445</v>
      </c>
      <c r="G269">
        <v>363</v>
      </c>
      <c r="H269"/>
      <c r="I269" t="s">
        <v>8</v>
      </c>
      <c r="J269" t="s">
        <v>6</v>
      </c>
      <c r="K269">
        <v>2</v>
      </c>
      <c r="L269">
        <v>1</v>
      </c>
      <c r="M269">
        <f t="shared" si="14"/>
        <v>1</v>
      </c>
      <c r="N269">
        <f t="shared" si="15"/>
        <v>1</v>
      </c>
      <c r="O269" t="s">
        <v>1195</v>
      </c>
      <c r="P269" t="s">
        <v>1196</v>
      </c>
      <c r="Q269" t="str">
        <f>HYPERLINK(".\links\NR-LIGHT\TI-445-NR-LIGHT.txt","NR-LIGHT")</f>
        <v>NR-LIGHT</v>
      </c>
      <c r="R269" s="3">
        <v>7.0000000000000006E-64</v>
      </c>
      <c r="S269">
        <v>6.6</v>
      </c>
      <c r="T269" t="str">
        <f>HYPERLINK(".\links\NR-LIGHT\TI-445-NR-LIGHT.txt","nonstructural protein precursor")</f>
        <v>nonstructural protein precursor</v>
      </c>
      <c r="U269" t="str">
        <f>HYPERLINK("http://www.ncbi.nlm.nih.gov/sutils/blink.cgi?pid=20451029","7E-064")</f>
        <v>7E-064</v>
      </c>
      <c r="V269" t="str">
        <f>HYPERLINK("http://www.ncbi.nlm.nih.gov/protein/20451029","gi|20451029")</f>
        <v>gi|20451029</v>
      </c>
      <c r="W269">
        <v>244</v>
      </c>
      <c r="X269">
        <v>119</v>
      </c>
      <c r="Y269">
        <v>1795</v>
      </c>
      <c r="Z269">
        <v>97</v>
      </c>
      <c r="AA269">
        <v>7</v>
      </c>
      <c r="AB269">
        <v>3</v>
      </c>
      <c r="AC269">
        <v>0</v>
      </c>
      <c r="AD269">
        <v>1676</v>
      </c>
      <c r="AE269">
        <v>1</v>
      </c>
      <c r="AF269">
        <v>1</v>
      </c>
      <c r="AG269"/>
      <c r="AH269" t="s">
        <v>13</v>
      </c>
      <c r="AI269" t="s">
        <v>51</v>
      </c>
      <c r="AJ269" t="s">
        <v>269</v>
      </c>
      <c r="AK269" t="str">
        <f>HYPERLINK(".\links\SWISSP\TI-445-SWISSP.txt","Replicase polyprotein OS=Drosophila C virus (strain EB) GN=ORF1 PE=4 SV=1")</f>
        <v>Replicase polyprotein OS=Drosophila C virus (strain EB) GN=ORF1 PE=4 SV=1</v>
      </c>
      <c r="AL269" t="str">
        <f>HYPERLINK("http://www.uniprot.org/uniprot/O36966","2E-008")</f>
        <v>2E-008</v>
      </c>
      <c r="AM269" t="s">
        <v>230</v>
      </c>
      <c r="AN269">
        <v>57.8</v>
      </c>
      <c r="AO269">
        <v>78</v>
      </c>
      <c r="AP269">
        <v>1759</v>
      </c>
      <c r="AQ269">
        <v>37</v>
      </c>
      <c r="AR269">
        <v>4</v>
      </c>
      <c r="AS269">
        <v>49</v>
      </c>
      <c r="AT269">
        <v>0</v>
      </c>
      <c r="AU269">
        <v>1648</v>
      </c>
      <c r="AV269">
        <v>4</v>
      </c>
      <c r="AW269">
        <v>1</v>
      </c>
      <c r="AX269" t="s">
        <v>231</v>
      </c>
      <c r="AY269" t="s">
        <v>8</v>
      </c>
      <c r="AZ269"/>
      <c r="BA269"/>
      <c r="BB269"/>
      <c r="BC269"/>
      <c r="BD269"/>
      <c r="BE269"/>
      <c r="BF269"/>
      <c r="BG269"/>
      <c r="BH269"/>
      <c r="BI269"/>
      <c r="BJ269"/>
      <c r="BK269"/>
      <c r="BL269" t="s">
        <v>8</v>
      </c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 t="s">
        <v>8</v>
      </c>
      <c r="CD269"/>
      <c r="CE269"/>
      <c r="CF269" t="s">
        <v>8</v>
      </c>
      <c r="CG269"/>
      <c r="CH269"/>
      <c r="CI269" t="s">
        <v>8</v>
      </c>
      <c r="CJ269"/>
      <c r="CK269" t="s">
        <v>8</v>
      </c>
      <c r="CL269"/>
      <c r="CM269" t="s">
        <v>8</v>
      </c>
      <c r="CN269"/>
      <c r="CO269" t="s">
        <v>8</v>
      </c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 t="s">
        <v>8</v>
      </c>
      <c r="DD269"/>
      <c r="DE269"/>
      <c r="DF269"/>
      <c r="DG269"/>
      <c r="DH269"/>
      <c r="DI269"/>
      <c r="DJ269"/>
      <c r="DK269"/>
      <c r="DL269"/>
      <c r="DM269"/>
      <c r="DN269"/>
      <c r="DO269"/>
      <c r="DP269"/>
    </row>
    <row r="270" spans="1:120" s="4" customFormat="1">
      <c r="A270" s="6" t="str">
        <f>HYPERLINK(".\links\pep\TI-446-pep.txt","TI-446")</f>
        <v>TI-446</v>
      </c>
      <c r="B270" s="6">
        <v>446</v>
      </c>
      <c r="C270" s="6" t="s">
        <v>24</v>
      </c>
      <c r="D270" s="6">
        <v>16</v>
      </c>
      <c r="E270" s="6">
        <v>0</v>
      </c>
      <c r="F270" s="6" t="str">
        <f>HYPERLINK(".\links\cds\TI-446-cds.txt","TI-446")</f>
        <v>TI-446</v>
      </c>
      <c r="G270" s="6">
        <v>51</v>
      </c>
      <c r="H270" s="6"/>
      <c r="I270" s="6" t="s">
        <v>8</v>
      </c>
      <c r="J270" s="6" t="s">
        <v>6</v>
      </c>
      <c r="K270" s="6">
        <v>0</v>
      </c>
      <c r="L270" s="6">
        <v>1</v>
      </c>
      <c r="M270" s="6">
        <f t="shared" si="14"/>
        <v>-1</v>
      </c>
      <c r="N270" s="6">
        <f t="shared" si="15"/>
        <v>1</v>
      </c>
      <c r="O270" s="6" t="s">
        <v>1170</v>
      </c>
      <c r="P270" s="6" t="s">
        <v>1171</v>
      </c>
      <c r="Q270" s="6"/>
      <c r="R270" s="6"/>
      <c r="S270" s="6"/>
      <c r="T270" s="6" t="s">
        <v>8</v>
      </c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 t="s">
        <v>8</v>
      </c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 t="s">
        <v>8</v>
      </c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 t="s">
        <v>8</v>
      </c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 t="s">
        <v>8</v>
      </c>
      <c r="CD270" s="6"/>
      <c r="CE270" s="6"/>
      <c r="CF270" s="6" t="s">
        <v>8</v>
      </c>
      <c r="CG270" s="6"/>
      <c r="CH270" s="6"/>
      <c r="CI270" s="6" t="s">
        <v>8</v>
      </c>
      <c r="CJ270" s="6"/>
      <c r="CK270" s="6" t="s">
        <v>8</v>
      </c>
      <c r="CL270" s="6"/>
      <c r="CM270" s="6" t="s">
        <v>8</v>
      </c>
      <c r="CN270" s="6"/>
      <c r="CO270" s="6" t="s">
        <v>8</v>
      </c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 t="s">
        <v>8</v>
      </c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</row>
    <row r="271" spans="1:120" s="4" customFormat="1">
      <c r="A271" t="str">
        <f>HYPERLINK(".\links\pep\TI-447-pep.txt","TI-447")</f>
        <v>TI-447</v>
      </c>
      <c r="B271">
        <v>447</v>
      </c>
      <c r="C271" t="s">
        <v>12</v>
      </c>
      <c r="D271">
        <v>211</v>
      </c>
      <c r="E271">
        <v>0</v>
      </c>
      <c r="F271" t="str">
        <f>HYPERLINK(".\links\cds\TI-447-cds.txt","TI-447")</f>
        <v>TI-447</v>
      </c>
      <c r="G271">
        <v>632</v>
      </c>
      <c r="H271"/>
      <c r="I271" t="s">
        <v>8</v>
      </c>
      <c r="J271" t="s">
        <v>8</v>
      </c>
      <c r="K271">
        <v>0</v>
      </c>
      <c r="L271">
        <v>2</v>
      </c>
      <c r="M271">
        <f t="shared" si="14"/>
        <v>-2</v>
      </c>
      <c r="N271">
        <f t="shared" si="15"/>
        <v>2</v>
      </c>
      <c r="O271" t="s">
        <v>1232</v>
      </c>
      <c r="P271" t="s">
        <v>1178</v>
      </c>
      <c r="Q271" t="str">
        <f>HYPERLINK(".\links\SWISSP\TI-447-SWISSP.txt","SWISSP")</f>
        <v>SWISSP</v>
      </c>
      <c r="R271" s="3">
        <v>2.9999999999999999E-69</v>
      </c>
      <c r="S271">
        <v>69.3</v>
      </c>
      <c r="T271" t="str">
        <f>HYPERLINK(".\links\NR-LIGHT\TI-447-NR-LIGHT.txt","triosephosphate isomerase")</f>
        <v>triosephosphate isomerase</v>
      </c>
      <c r="U271" t="str">
        <f>HYPERLINK("http://www.ncbi.nlm.nih.gov/sutils/blink.cgi?pid=45382061","1E-068")</f>
        <v>1E-068</v>
      </c>
      <c r="V271" t="str">
        <f>HYPERLINK("http://www.ncbi.nlm.nih.gov/protein/45382061","gi|45382061")</f>
        <v>gi|45382061</v>
      </c>
      <c r="W271">
        <v>261</v>
      </c>
      <c r="X271">
        <v>171</v>
      </c>
      <c r="Y271">
        <v>248</v>
      </c>
      <c r="Z271">
        <v>68</v>
      </c>
      <c r="AA271">
        <v>69</v>
      </c>
      <c r="AB271">
        <v>54</v>
      </c>
      <c r="AC271">
        <v>0</v>
      </c>
      <c r="AD271">
        <v>4</v>
      </c>
      <c r="AE271">
        <v>40</v>
      </c>
      <c r="AF271">
        <v>1</v>
      </c>
      <c r="AG271"/>
      <c r="AH271" t="s">
        <v>13</v>
      </c>
      <c r="AI271" t="s">
        <v>51</v>
      </c>
      <c r="AJ271" t="s">
        <v>126</v>
      </c>
      <c r="AK271" t="str">
        <f>HYPERLINK(".\links\SWISSP\TI-447-SWISSP.txt","Triosephosphate isomerase OS=Gallus gallus GN=TPI1 PE=1 SV=2")</f>
        <v>Triosephosphate isomerase OS=Gallus gallus GN=TPI1 PE=1 SV=2</v>
      </c>
      <c r="AL271" t="str">
        <f>HYPERLINK("http://www.uniprot.org/uniprot/P00940","3E-069")</f>
        <v>3E-069</v>
      </c>
      <c r="AM271" t="s">
        <v>232</v>
      </c>
      <c r="AN271">
        <v>261</v>
      </c>
      <c r="AO271">
        <v>171</v>
      </c>
      <c r="AP271">
        <v>248</v>
      </c>
      <c r="AQ271">
        <v>68</v>
      </c>
      <c r="AR271">
        <v>69</v>
      </c>
      <c r="AS271">
        <v>54</v>
      </c>
      <c r="AT271">
        <v>0</v>
      </c>
      <c r="AU271">
        <v>4</v>
      </c>
      <c r="AV271">
        <v>40</v>
      </c>
      <c r="AW271">
        <v>1</v>
      </c>
      <c r="AX271" t="s">
        <v>126</v>
      </c>
      <c r="AY271" t="str">
        <f>HYPERLINK(".\links\PREV-RHOD-PEP\TI-447-PREV-RHOD-PEP.txt","Contig18070_346")</f>
        <v>Contig18070_346</v>
      </c>
      <c r="AZ271" s="3">
        <v>6.0000000000000002E-83</v>
      </c>
      <c r="BA271" t="s">
        <v>1140</v>
      </c>
      <c r="BB271">
        <v>302</v>
      </c>
      <c r="BC271">
        <v>172</v>
      </c>
      <c r="BD271">
        <v>248</v>
      </c>
      <c r="BE271">
        <v>81</v>
      </c>
      <c r="BF271">
        <v>70</v>
      </c>
      <c r="BG271">
        <v>32</v>
      </c>
      <c r="BH271">
        <v>0</v>
      </c>
      <c r="BI271">
        <v>1</v>
      </c>
      <c r="BJ271">
        <v>39</v>
      </c>
      <c r="BK271">
        <v>1</v>
      </c>
      <c r="BL271" t="s">
        <v>894</v>
      </c>
      <c r="BM271">
        <f>HYPERLINK(".\links\GO\TI-447-GO.txt",7E-66)</f>
        <v>7.0000000000000001E-66</v>
      </c>
      <c r="BN271" t="s">
        <v>895</v>
      </c>
      <c r="BO271" t="s">
        <v>345</v>
      </c>
      <c r="BP271" t="s">
        <v>788</v>
      </c>
      <c r="BQ271" t="s">
        <v>896</v>
      </c>
      <c r="BR271" s="3">
        <v>9.9999999999999992E-66</v>
      </c>
      <c r="BS271" t="s">
        <v>389</v>
      </c>
      <c r="BT271" t="s">
        <v>323</v>
      </c>
      <c r="BU271" t="s">
        <v>390</v>
      </c>
      <c r="BV271" t="s">
        <v>391</v>
      </c>
      <c r="BW271" s="3">
        <v>9.9999999999999992E-66</v>
      </c>
      <c r="BX271" t="s">
        <v>897</v>
      </c>
      <c r="BY271" t="s">
        <v>345</v>
      </c>
      <c r="BZ271" t="s">
        <v>788</v>
      </c>
      <c r="CA271" t="s">
        <v>898</v>
      </c>
      <c r="CB271" s="3">
        <v>9.9999999999999992E-66</v>
      </c>
      <c r="CC271" t="s">
        <v>8</v>
      </c>
      <c r="CD271"/>
      <c r="CE271"/>
      <c r="CF271" t="s">
        <v>8</v>
      </c>
      <c r="CG271"/>
      <c r="CH271"/>
      <c r="CI271" t="s">
        <v>8</v>
      </c>
      <c r="CJ271"/>
      <c r="CK271" t="s">
        <v>8</v>
      </c>
      <c r="CL271"/>
      <c r="CM271" t="s">
        <v>8</v>
      </c>
      <c r="CN271"/>
      <c r="CO271" t="s">
        <v>8</v>
      </c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 t="s">
        <v>8</v>
      </c>
      <c r="DD271"/>
      <c r="DE271"/>
      <c r="DF271"/>
      <c r="DG271"/>
      <c r="DH271"/>
      <c r="DI271"/>
      <c r="DJ271"/>
      <c r="DK271"/>
      <c r="DL271"/>
      <c r="DM271"/>
      <c r="DN271"/>
      <c r="DO271"/>
      <c r="DP271"/>
    </row>
    <row r="272" spans="1:120" s="4" customFormat="1">
      <c r="A272" s="6" t="str">
        <f>HYPERLINK(".\links\pep\TI-448-pep.txt","TI-448")</f>
        <v>TI-448</v>
      </c>
      <c r="B272" s="6">
        <v>448</v>
      </c>
      <c r="C272" s="6" t="s">
        <v>27</v>
      </c>
      <c r="D272" s="6">
        <v>231</v>
      </c>
      <c r="E272" s="6">
        <v>0</v>
      </c>
      <c r="F272" s="6" t="str">
        <f>HYPERLINK(".\links\cds\TI-448-cds.txt","TI-448")</f>
        <v>TI-448</v>
      </c>
      <c r="G272" s="6">
        <v>696</v>
      </c>
      <c r="H272" s="6"/>
      <c r="I272" s="6" t="s">
        <v>8</v>
      </c>
      <c r="J272" s="6" t="s">
        <v>6</v>
      </c>
      <c r="K272" s="6">
        <v>1</v>
      </c>
      <c r="L272" s="6">
        <v>1</v>
      </c>
      <c r="M272" s="6">
        <f t="shared" si="14"/>
        <v>0</v>
      </c>
      <c r="N272" s="6">
        <f t="shared" si="15"/>
        <v>0</v>
      </c>
      <c r="O272" s="6" t="s">
        <v>1170</v>
      </c>
      <c r="P272" s="6" t="s">
        <v>1171</v>
      </c>
      <c r="Q272" s="6"/>
      <c r="R272" s="6"/>
      <c r="S272" s="6"/>
      <c r="T272" s="6" t="str">
        <f>HYPERLINK(".\links\NR-LIGHT\TI-448-NR-LIGHT.txt","hypothetical protein PsyrptK_26593")</f>
        <v>hypothetical protein PsyrptK_26593</v>
      </c>
      <c r="U272" s="6" t="str">
        <f>HYPERLINK("http://www.ncbi.nlm.nih.gov/sutils/blink.cgi?pid=302063566","0.76")</f>
        <v>0.76</v>
      </c>
      <c r="V272" s="6" t="str">
        <f>HYPERLINK("http://www.ncbi.nlm.nih.gov/protein/302063566","gi|302063566")</f>
        <v>gi|302063566</v>
      </c>
      <c r="W272" s="6">
        <v>36.6</v>
      </c>
      <c r="X272" s="6">
        <v>52</v>
      </c>
      <c r="Y272" s="6">
        <v>177</v>
      </c>
      <c r="Z272" s="6">
        <v>37</v>
      </c>
      <c r="AA272" s="6">
        <v>30</v>
      </c>
      <c r="AB272" s="6">
        <v>36</v>
      </c>
      <c r="AC272" s="6">
        <v>5</v>
      </c>
      <c r="AD272" s="6">
        <v>58</v>
      </c>
      <c r="AE272" s="6">
        <v>41</v>
      </c>
      <c r="AF272" s="6">
        <v>1</v>
      </c>
      <c r="AG272" s="6"/>
      <c r="AH272" s="6" t="s">
        <v>13</v>
      </c>
      <c r="AI272" s="6" t="s">
        <v>51</v>
      </c>
      <c r="AJ272" s="6" t="s">
        <v>300</v>
      </c>
      <c r="AK272" s="6" t="s">
        <v>8</v>
      </c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 t="str">
        <f>HYPERLINK(".\links\PREV-RHOD-PEP\TI-448-PREV-RHOD-PEP.txt","Contig17914_3")</f>
        <v>Contig17914_3</v>
      </c>
      <c r="AZ272" s="8">
        <v>1.9999999999999999E-64</v>
      </c>
      <c r="BA272" s="6" t="s">
        <v>1141</v>
      </c>
      <c r="BB272" s="6">
        <v>241</v>
      </c>
      <c r="BC272" s="6">
        <v>222</v>
      </c>
      <c r="BD272" s="6">
        <v>225</v>
      </c>
      <c r="BE272" s="6">
        <v>51</v>
      </c>
      <c r="BF272" s="6">
        <v>99</v>
      </c>
      <c r="BG272" s="6">
        <v>110</v>
      </c>
      <c r="BH272" s="6">
        <v>3</v>
      </c>
      <c r="BI272" s="6">
        <v>1</v>
      </c>
      <c r="BJ272" s="6">
        <v>3</v>
      </c>
      <c r="BK272" s="6">
        <v>1</v>
      </c>
      <c r="BL272" s="6" t="s">
        <v>8</v>
      </c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 t="s">
        <v>8</v>
      </c>
      <c r="CD272" s="6"/>
      <c r="CE272" s="6"/>
      <c r="CF272" s="6" t="s">
        <v>8</v>
      </c>
      <c r="CG272" s="6"/>
      <c r="CH272" s="6"/>
      <c r="CI272" s="6" t="s">
        <v>8</v>
      </c>
      <c r="CJ272" s="6"/>
      <c r="CK272" s="6" t="s">
        <v>8</v>
      </c>
      <c r="CL272" s="6"/>
      <c r="CM272" s="6" t="s">
        <v>8</v>
      </c>
      <c r="CN272" s="6"/>
      <c r="CO272" s="6" t="s">
        <v>8</v>
      </c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 t="s">
        <v>8</v>
      </c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</row>
    <row r="273" spans="1:120" s="4" customFormat="1">
      <c r="A273" t="str">
        <f>HYPERLINK(".\links\pep\TI-449-pep.txt","TI-449")</f>
        <v>TI-449</v>
      </c>
      <c r="B273">
        <v>449</v>
      </c>
      <c r="C273" t="s">
        <v>22</v>
      </c>
      <c r="D273">
        <v>149</v>
      </c>
      <c r="E273">
        <v>0</v>
      </c>
      <c r="F273" t="str">
        <f>HYPERLINK(".\links\cds\TI-449-cds.txt","TI-449")</f>
        <v>TI-449</v>
      </c>
      <c r="G273">
        <v>450</v>
      </c>
      <c r="H273"/>
      <c r="I273" t="s">
        <v>8</v>
      </c>
      <c r="J273" t="s">
        <v>6</v>
      </c>
      <c r="K273">
        <v>2</v>
      </c>
      <c r="L273">
        <v>0</v>
      </c>
      <c r="M273">
        <f t="shared" si="14"/>
        <v>2</v>
      </c>
      <c r="N273">
        <f t="shared" si="15"/>
        <v>2</v>
      </c>
      <c r="O273" t="s">
        <v>1337</v>
      </c>
      <c r="P273" t="s">
        <v>1181</v>
      </c>
      <c r="Q273" t="str">
        <f>HYPERLINK(".\links\GO\TI-449-GO.txt","GO")</f>
        <v>GO</v>
      </c>
      <c r="R273" s="3">
        <v>3E-32</v>
      </c>
      <c r="S273">
        <v>47.7</v>
      </c>
      <c r="T273" t="str">
        <f>HYPERLINK(".\links\NR-LIGHT\TI-449-NR-LIGHT.txt","aldo-keto reductase family 1 member B10-like")</f>
        <v>aldo-keto reductase family 1 member B10-like</v>
      </c>
      <c r="U273" t="str">
        <f>HYPERLINK("http://www.ncbi.nlm.nih.gov/sutils/blink.cgi?pid=193601268","2E-039")</f>
        <v>2E-039</v>
      </c>
      <c r="V273" t="str">
        <f>HYPERLINK("http://www.ncbi.nlm.nih.gov/protein/193601268","gi|193601268")</f>
        <v>gi|193601268</v>
      </c>
      <c r="W273">
        <v>162</v>
      </c>
      <c r="X273">
        <v>142</v>
      </c>
      <c r="Y273">
        <v>320</v>
      </c>
      <c r="Z273">
        <v>55</v>
      </c>
      <c r="AA273">
        <v>45</v>
      </c>
      <c r="AB273">
        <v>64</v>
      </c>
      <c r="AC273">
        <v>1</v>
      </c>
      <c r="AD273">
        <v>164</v>
      </c>
      <c r="AE273">
        <v>1</v>
      </c>
      <c r="AF273">
        <v>1</v>
      </c>
      <c r="AG273"/>
      <c r="AH273" t="s">
        <v>13</v>
      </c>
      <c r="AI273" t="s">
        <v>51</v>
      </c>
      <c r="AJ273" t="s">
        <v>264</v>
      </c>
      <c r="AK273" t="str">
        <f>HYPERLINK(".\links\SWISSP\TI-449-SWISSP.txt","Aldose reductase OS=Bos taurus GN=AKR1B1 PE=1 SV=1")</f>
        <v>Aldose reductase OS=Bos taurus GN=AKR1B1 PE=1 SV=1</v>
      </c>
      <c r="AL273" t="str">
        <f>HYPERLINK("http://www.uniprot.org/uniprot/P16116","7E-033")</f>
        <v>7E-033</v>
      </c>
      <c r="AM273" t="s">
        <v>233</v>
      </c>
      <c r="AN273">
        <v>139</v>
      </c>
      <c r="AO273">
        <v>149</v>
      </c>
      <c r="AP273">
        <v>315</v>
      </c>
      <c r="AQ273">
        <v>47</v>
      </c>
      <c r="AR273">
        <v>48</v>
      </c>
      <c r="AS273">
        <v>79</v>
      </c>
      <c r="AT273">
        <v>3</v>
      </c>
      <c r="AU273">
        <v>157</v>
      </c>
      <c r="AV273">
        <v>1</v>
      </c>
      <c r="AW273">
        <v>1</v>
      </c>
      <c r="AX273" t="s">
        <v>64</v>
      </c>
      <c r="AY273" t="str">
        <f>HYPERLINK(".\links\PREV-RHOD-PEP\TI-449-PREV-RHOD-PEP.txt","Contig5015_1")</f>
        <v>Contig5015_1</v>
      </c>
      <c r="AZ273" s="3">
        <v>3.9999999999999999E-64</v>
      </c>
      <c r="BA273" t="s">
        <v>1142</v>
      </c>
      <c r="BB273">
        <v>239</v>
      </c>
      <c r="BC273">
        <v>143</v>
      </c>
      <c r="BD273">
        <v>313</v>
      </c>
      <c r="BE273">
        <v>81</v>
      </c>
      <c r="BF273">
        <v>46</v>
      </c>
      <c r="BG273">
        <v>27</v>
      </c>
      <c r="BH273">
        <v>0</v>
      </c>
      <c r="BI273">
        <v>160</v>
      </c>
      <c r="BJ273">
        <v>1</v>
      </c>
      <c r="BK273">
        <v>1</v>
      </c>
      <c r="BL273" t="s">
        <v>899</v>
      </c>
      <c r="BM273">
        <f>HYPERLINK(".\links\GO\TI-449-GO.txt",6E-33)</f>
        <v>6.0000000000000003E-33</v>
      </c>
      <c r="BN273" t="s">
        <v>900</v>
      </c>
      <c r="BO273" t="s">
        <v>345</v>
      </c>
      <c r="BP273" t="s">
        <v>368</v>
      </c>
      <c r="BQ273" t="s">
        <v>901</v>
      </c>
      <c r="BR273" s="3">
        <v>3E-32</v>
      </c>
      <c r="BS273" t="s">
        <v>861</v>
      </c>
      <c r="BT273" t="s">
        <v>501</v>
      </c>
      <c r="BU273" t="s">
        <v>752</v>
      </c>
      <c r="BV273" t="s">
        <v>862</v>
      </c>
      <c r="BW273" s="3">
        <v>3E-32</v>
      </c>
      <c r="BX273" t="s">
        <v>902</v>
      </c>
      <c r="BY273" t="s">
        <v>345</v>
      </c>
      <c r="BZ273" t="s">
        <v>368</v>
      </c>
      <c r="CA273" t="s">
        <v>903</v>
      </c>
      <c r="CB273" s="3">
        <v>3E-32</v>
      </c>
      <c r="CC273" t="s">
        <v>8</v>
      </c>
      <c r="CD273"/>
      <c r="CE273"/>
      <c r="CF273" t="s">
        <v>8</v>
      </c>
      <c r="CG273"/>
      <c r="CH273"/>
      <c r="CI273" t="s">
        <v>8</v>
      </c>
      <c r="CJ273"/>
      <c r="CK273" t="s">
        <v>8</v>
      </c>
      <c r="CL273"/>
      <c r="CM273" t="s">
        <v>8</v>
      </c>
      <c r="CN273"/>
      <c r="CO273" t="s">
        <v>8</v>
      </c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 t="s">
        <v>8</v>
      </c>
      <c r="DD273"/>
      <c r="DE273"/>
      <c r="DF273"/>
      <c r="DG273"/>
      <c r="DH273"/>
      <c r="DI273"/>
      <c r="DJ273"/>
      <c r="DK273"/>
      <c r="DL273"/>
      <c r="DM273"/>
      <c r="DN273"/>
      <c r="DO273"/>
      <c r="DP273"/>
    </row>
    <row r="274" spans="1:120" s="4" customFormat="1">
      <c r="A274" t="str">
        <f>HYPERLINK(".\links\pep\TI-450-pep.txt","TI-450")</f>
        <v>TI-450</v>
      </c>
      <c r="B274">
        <v>450</v>
      </c>
      <c r="C274" t="s">
        <v>7</v>
      </c>
      <c r="D274">
        <v>169</v>
      </c>
      <c r="E274">
        <v>0</v>
      </c>
      <c r="F274" t="str">
        <f>HYPERLINK(".\links\cds\TI-450-cds.txt","TI-450")</f>
        <v>TI-450</v>
      </c>
      <c r="G274">
        <v>510</v>
      </c>
      <c r="H274"/>
      <c r="I274" t="s">
        <v>29</v>
      </c>
      <c r="J274" t="s">
        <v>6</v>
      </c>
      <c r="K274">
        <v>0</v>
      </c>
      <c r="L274">
        <v>2</v>
      </c>
      <c r="M274">
        <f t="shared" si="14"/>
        <v>-2</v>
      </c>
      <c r="N274">
        <f t="shared" si="15"/>
        <v>2</v>
      </c>
      <c r="O274" t="s">
        <v>1233</v>
      </c>
      <c r="P274" t="s">
        <v>1169</v>
      </c>
      <c r="Q274" t="str">
        <f>HYPERLINK(".\links\NR-LIGHT\TI-450-NR-LIGHT.txt","NR-LIGHT")</f>
        <v>NR-LIGHT</v>
      </c>
      <c r="R274" s="3">
        <v>1.9999999999999999E-47</v>
      </c>
      <c r="S274">
        <v>79.7</v>
      </c>
      <c r="T274" t="str">
        <f>HYPERLINK(".\links\NR-LIGHT\TI-450-NR-LIGHT.txt","similar to ribosomal protein L35Ae")</f>
        <v>similar to ribosomal protein L35Ae</v>
      </c>
      <c r="U274" t="str">
        <f>HYPERLINK("http://www.ncbi.nlm.nih.gov/sutils/blink.cgi?pid=91094995","2E-047")</f>
        <v>2E-047</v>
      </c>
      <c r="V274" t="str">
        <f>HYPERLINK("http://www.ncbi.nlm.nih.gov/protein/91094995","gi|91094995")</f>
        <v>gi|91094995</v>
      </c>
      <c r="W274">
        <v>190</v>
      </c>
      <c r="X274">
        <v>113</v>
      </c>
      <c r="Y274">
        <v>143</v>
      </c>
      <c r="Z274">
        <v>81</v>
      </c>
      <c r="AA274">
        <v>80</v>
      </c>
      <c r="AB274">
        <v>21</v>
      </c>
      <c r="AC274">
        <v>1</v>
      </c>
      <c r="AD274">
        <v>30</v>
      </c>
      <c r="AE274">
        <v>57</v>
      </c>
      <c r="AF274">
        <v>1</v>
      </c>
      <c r="AG274"/>
      <c r="AH274" t="s">
        <v>13</v>
      </c>
      <c r="AI274" t="s">
        <v>51</v>
      </c>
      <c r="AJ274" t="s">
        <v>266</v>
      </c>
      <c r="AK274" t="str">
        <f>HYPERLINK(".\links\SWISSP\TI-450-SWISSP.txt","60S ribosomal protein L35a OS=Pongo abelii GN=RPL35A PE=3 SV=1")</f>
        <v>60S ribosomal protein L35a OS=Pongo abelii GN=RPL35A PE=3 SV=1</v>
      </c>
      <c r="AL274" t="str">
        <f>HYPERLINK("http://www.uniprot.org/uniprot/Q5R8K6","5E-036")</f>
        <v>5E-036</v>
      </c>
      <c r="AM274" t="s">
        <v>234</v>
      </c>
      <c r="AN274">
        <v>150</v>
      </c>
      <c r="AO274">
        <v>107</v>
      </c>
      <c r="AP274">
        <v>110</v>
      </c>
      <c r="AQ274">
        <v>65</v>
      </c>
      <c r="AR274">
        <v>98</v>
      </c>
      <c r="AS274">
        <v>38</v>
      </c>
      <c r="AT274">
        <v>2</v>
      </c>
      <c r="AU274">
        <v>3</v>
      </c>
      <c r="AV274">
        <v>60</v>
      </c>
      <c r="AW274">
        <v>1</v>
      </c>
      <c r="AX274" t="s">
        <v>121</v>
      </c>
      <c r="AY274" t="str">
        <f>HYPERLINK(".\links\PREV-RHOD-PEP\TI-450-PREV-RHOD-PEP.txt","Contig18035_25")</f>
        <v>Contig18035_25</v>
      </c>
      <c r="AZ274" s="3">
        <v>4.9999999999999996E-66</v>
      </c>
      <c r="BA274" t="s">
        <v>1143</v>
      </c>
      <c r="BB274">
        <v>245</v>
      </c>
      <c r="BC274">
        <v>117</v>
      </c>
      <c r="BD274">
        <v>169</v>
      </c>
      <c r="BE274">
        <v>98</v>
      </c>
      <c r="BF274">
        <v>70</v>
      </c>
      <c r="BG274">
        <v>2</v>
      </c>
      <c r="BH274">
        <v>0</v>
      </c>
      <c r="BI274">
        <v>52</v>
      </c>
      <c r="BJ274">
        <v>52</v>
      </c>
      <c r="BK274">
        <v>1</v>
      </c>
      <c r="BL274" t="s">
        <v>904</v>
      </c>
      <c r="BM274">
        <f>HYPERLINK(".\links\GO\TI-450-GO.txt",2E-40)</f>
        <v>1.9999999999999999E-40</v>
      </c>
      <c r="BN274" t="s">
        <v>329</v>
      </c>
      <c r="BO274" t="s">
        <v>330</v>
      </c>
      <c r="BP274" t="s">
        <v>331</v>
      </c>
      <c r="BQ274" t="s">
        <v>332</v>
      </c>
      <c r="BR274" s="3">
        <v>1.9999999999999999E-40</v>
      </c>
      <c r="BS274" t="s">
        <v>333</v>
      </c>
      <c r="BT274" t="s">
        <v>323</v>
      </c>
      <c r="BU274" t="s">
        <v>334</v>
      </c>
      <c r="BV274" t="s">
        <v>335</v>
      </c>
      <c r="BW274" s="3">
        <v>1.9999999999999999E-40</v>
      </c>
      <c r="BX274" t="s">
        <v>336</v>
      </c>
      <c r="BY274" t="s">
        <v>330</v>
      </c>
      <c r="BZ274" t="s">
        <v>331</v>
      </c>
      <c r="CA274" t="s">
        <v>337</v>
      </c>
      <c r="CB274" s="3">
        <v>1.9999999999999999E-40</v>
      </c>
      <c r="CC274" t="s">
        <v>8</v>
      </c>
      <c r="CD274"/>
      <c r="CE274"/>
      <c r="CF274" t="s">
        <v>8</v>
      </c>
      <c r="CG274"/>
      <c r="CH274"/>
      <c r="CI274" t="s">
        <v>8</v>
      </c>
      <c r="CJ274"/>
      <c r="CK274" t="s">
        <v>8</v>
      </c>
      <c r="CL274"/>
      <c r="CM274" t="s">
        <v>8</v>
      </c>
      <c r="CN274"/>
      <c r="CO274" t="s">
        <v>8</v>
      </c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 t="s">
        <v>8</v>
      </c>
      <c r="DD274"/>
      <c r="DE274"/>
      <c r="DF274"/>
      <c r="DG274"/>
      <c r="DH274"/>
      <c r="DI274"/>
      <c r="DJ274"/>
      <c r="DK274"/>
      <c r="DL274"/>
      <c r="DM274"/>
      <c r="DN274"/>
      <c r="DO274"/>
      <c r="DP274"/>
    </row>
    <row r="275" spans="1:120" s="4" customFormat="1">
      <c r="A275" s="6" t="str">
        <f>HYPERLINK(".\links\pep\TI-454-pep.txt","TI-454")</f>
        <v>TI-454</v>
      </c>
      <c r="B275" s="6">
        <v>454</v>
      </c>
      <c r="C275" s="6" t="s">
        <v>27</v>
      </c>
      <c r="D275" s="6">
        <v>15</v>
      </c>
      <c r="E275" s="6">
        <v>0</v>
      </c>
      <c r="F275" s="6" t="str">
        <f>HYPERLINK(".\links\cds\TI-454-cds.txt","TI-454")</f>
        <v>TI-454</v>
      </c>
      <c r="G275" s="6">
        <v>48</v>
      </c>
      <c r="H275" s="6"/>
      <c r="I275" s="6" t="s">
        <v>8</v>
      </c>
      <c r="J275" s="6" t="s">
        <v>6</v>
      </c>
      <c r="K275" s="6">
        <v>0</v>
      </c>
      <c r="L275" s="6">
        <v>1</v>
      </c>
      <c r="M275" s="6">
        <f t="shared" si="14"/>
        <v>-1</v>
      </c>
      <c r="N275" s="6">
        <f t="shared" si="15"/>
        <v>1</v>
      </c>
      <c r="O275" s="6" t="s">
        <v>1170</v>
      </c>
      <c r="P275" s="6" t="s">
        <v>1171</v>
      </c>
      <c r="Q275" s="6"/>
      <c r="R275" s="6"/>
      <c r="S275" s="6"/>
      <c r="T275" s="6" t="s">
        <v>8</v>
      </c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 t="s">
        <v>8</v>
      </c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 t="s">
        <v>8</v>
      </c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 t="s">
        <v>8</v>
      </c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 t="s">
        <v>8</v>
      </c>
      <c r="CD275" s="6"/>
      <c r="CE275" s="6"/>
      <c r="CF275" s="6" t="s">
        <v>8</v>
      </c>
      <c r="CG275" s="6"/>
      <c r="CH275" s="6"/>
      <c r="CI275" s="6" t="s">
        <v>8</v>
      </c>
      <c r="CJ275" s="6"/>
      <c r="CK275" s="6" t="s">
        <v>8</v>
      </c>
      <c r="CL275" s="6"/>
      <c r="CM275" s="6" t="s">
        <v>8</v>
      </c>
      <c r="CN275" s="6"/>
      <c r="CO275" s="6" t="s">
        <v>8</v>
      </c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 t="s">
        <v>8</v>
      </c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</row>
    <row r="276" spans="1:120" s="4" customFormat="1">
      <c r="A276" s="6" t="str">
        <f>HYPERLINK(".\links\pep\TI-455-pep.txt","TI-455")</f>
        <v>TI-455</v>
      </c>
      <c r="B276" s="6">
        <v>455</v>
      </c>
      <c r="C276" s="6" t="s">
        <v>16</v>
      </c>
      <c r="D276" s="6">
        <v>41</v>
      </c>
      <c r="E276" s="6">
        <v>0</v>
      </c>
      <c r="F276" s="6" t="str">
        <f>HYPERLINK(".\links\cds\TI-455-cds.txt","TI-455")</f>
        <v>TI-455</v>
      </c>
      <c r="G276" s="6">
        <v>126</v>
      </c>
      <c r="H276" s="6"/>
      <c r="I276" s="6" t="s">
        <v>8</v>
      </c>
      <c r="J276" s="6" t="s">
        <v>6</v>
      </c>
      <c r="K276" s="6">
        <v>1</v>
      </c>
      <c r="L276" s="6">
        <v>1</v>
      </c>
      <c r="M276" s="6">
        <f t="shared" si="14"/>
        <v>0</v>
      </c>
      <c r="N276" s="6">
        <f t="shared" si="15"/>
        <v>0</v>
      </c>
      <c r="O276" s="6" t="s">
        <v>1170</v>
      </c>
      <c r="P276" s="6" t="s">
        <v>1171</v>
      </c>
      <c r="Q276" s="6"/>
      <c r="R276" s="6"/>
      <c r="S276" s="6"/>
      <c r="T276" s="6" t="s">
        <v>8</v>
      </c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 t="s">
        <v>8</v>
      </c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 t="s">
        <v>8</v>
      </c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 t="s">
        <v>8</v>
      </c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 t="s">
        <v>8</v>
      </c>
      <c r="CD276" s="6"/>
      <c r="CE276" s="6"/>
      <c r="CF276" s="6" t="s">
        <v>8</v>
      </c>
      <c r="CG276" s="6"/>
      <c r="CH276" s="6"/>
      <c r="CI276" s="6" t="s">
        <v>8</v>
      </c>
      <c r="CJ276" s="6"/>
      <c r="CK276" s="6" t="s">
        <v>8</v>
      </c>
      <c r="CL276" s="6"/>
      <c r="CM276" s="6" t="s">
        <v>8</v>
      </c>
      <c r="CN276" s="6"/>
      <c r="CO276" s="6" t="s">
        <v>8</v>
      </c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 t="str">
        <f>HYPERLINK(".\links\RRNA\TI-455-RRNA.txt","Hymenochirus curtipus 18S ribosomal RNA, partial")</f>
        <v>Hymenochirus curtipus 18S ribosomal RNA, partial</v>
      </c>
      <c r="DD276" s="6" t="str">
        <f>HYPERLINK("http://www.ncbi.nlm.nih.gov/entrez/viewer.fcgi?db=nucleotide&amp;val=174957","3E-011")</f>
        <v>3E-011</v>
      </c>
      <c r="DE276" s="6" t="str">
        <f>HYPERLINK("http://www.ncbi.nlm.nih.gov/entrez/viewer.fcgi?db=nucleotide&amp;val=174957","gi|174957")</f>
        <v>gi|174957</v>
      </c>
      <c r="DF276" s="6">
        <v>65.900000000000006</v>
      </c>
      <c r="DG276" s="6">
        <v>36</v>
      </c>
      <c r="DH276" s="6">
        <v>276</v>
      </c>
      <c r="DI276" s="6">
        <v>97</v>
      </c>
      <c r="DJ276" s="6">
        <v>13</v>
      </c>
      <c r="DK276" s="6">
        <v>1</v>
      </c>
      <c r="DL276" s="6">
        <v>0</v>
      </c>
      <c r="DM276" s="6">
        <v>193</v>
      </c>
      <c r="DN276" s="6">
        <v>1</v>
      </c>
      <c r="DO276" s="6">
        <v>1</v>
      </c>
      <c r="DP276" s="6" t="s">
        <v>51</v>
      </c>
    </row>
    <row r="277" spans="1:120" s="4" customFormat="1">
      <c r="A277" s="6" t="str">
        <f>HYPERLINK(".\links\pep\TI-456-pep.txt","TI-456")</f>
        <v>TI-456</v>
      </c>
      <c r="B277" s="6">
        <v>456</v>
      </c>
      <c r="C277" s="6" t="s">
        <v>10</v>
      </c>
      <c r="D277" s="6">
        <v>10</v>
      </c>
      <c r="E277" s="6">
        <v>0</v>
      </c>
      <c r="F277" s="6" t="str">
        <f>HYPERLINK(".\links\cds\TI-456-cds.txt","TI-456")</f>
        <v>TI-456</v>
      </c>
      <c r="G277" s="6">
        <v>33</v>
      </c>
      <c r="H277" s="6"/>
      <c r="I277" s="6" t="s">
        <v>8</v>
      </c>
      <c r="J277" s="6" t="s">
        <v>6</v>
      </c>
      <c r="K277" s="6">
        <v>1</v>
      </c>
      <c r="L277" s="6">
        <v>0</v>
      </c>
      <c r="M277" s="6">
        <f t="shared" si="14"/>
        <v>1</v>
      </c>
      <c r="N277" s="6">
        <f t="shared" si="15"/>
        <v>1</v>
      </c>
      <c r="O277" s="6" t="s">
        <v>1170</v>
      </c>
      <c r="P277" s="6" t="s">
        <v>1171</v>
      </c>
      <c r="Q277" s="6"/>
      <c r="R277" s="6"/>
      <c r="S277" s="6"/>
      <c r="T277" s="6" t="s">
        <v>8</v>
      </c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 t="s">
        <v>8</v>
      </c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 t="s">
        <v>8</v>
      </c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 t="s">
        <v>8</v>
      </c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 t="s">
        <v>8</v>
      </c>
      <c r="CD277" s="6"/>
      <c r="CE277" s="6"/>
      <c r="CF277" s="6" t="s">
        <v>8</v>
      </c>
      <c r="CG277" s="6"/>
      <c r="CH277" s="6"/>
      <c r="CI277" s="6" t="s">
        <v>8</v>
      </c>
      <c r="CJ277" s="6"/>
      <c r="CK277" s="6" t="s">
        <v>8</v>
      </c>
      <c r="CL277" s="6"/>
      <c r="CM277" s="6" t="s">
        <v>8</v>
      </c>
      <c r="CN277" s="6"/>
      <c r="CO277" s="6" t="s">
        <v>8</v>
      </c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 t="s">
        <v>8</v>
      </c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</row>
    <row r="278" spans="1:120" s="4" customFormat="1">
      <c r="A278" t="str">
        <f>HYPERLINK(".\links\pep\TI-457-pep.txt","TI-457")</f>
        <v>TI-457</v>
      </c>
      <c r="B278">
        <v>457</v>
      </c>
      <c r="C278" t="s">
        <v>7</v>
      </c>
      <c r="D278">
        <v>113</v>
      </c>
      <c r="E278">
        <v>0</v>
      </c>
      <c r="F278" t="str">
        <f>HYPERLINK(".\links\cds\TI-457-cds.txt","TI-457")</f>
        <v>TI-457</v>
      </c>
      <c r="G278">
        <v>342</v>
      </c>
      <c r="H278"/>
      <c r="I278" t="s">
        <v>29</v>
      </c>
      <c r="J278" t="s">
        <v>6</v>
      </c>
      <c r="K278">
        <v>2</v>
      </c>
      <c r="L278">
        <v>2</v>
      </c>
      <c r="M278">
        <f t="shared" si="14"/>
        <v>0</v>
      </c>
      <c r="N278">
        <f t="shared" si="15"/>
        <v>0</v>
      </c>
      <c r="O278" t="s">
        <v>1234</v>
      </c>
      <c r="P278" t="s">
        <v>1173</v>
      </c>
      <c r="Q278" t="str">
        <f>HYPERLINK(".\links\NR-LIGHT\TI-457-NR-LIGHT.txt","NR-LIGHT")</f>
        <v>NR-LIGHT</v>
      </c>
      <c r="R278" s="3">
        <v>1.0000000000000001E-43</v>
      </c>
      <c r="S278">
        <v>100</v>
      </c>
      <c r="T278" t="str">
        <f>HYPERLINK(".\links\NR-LIGHT\TI-457-NR-LIGHT.txt","fatty acid-binding lipocalin")</f>
        <v>fatty acid-binding lipocalin</v>
      </c>
      <c r="U278" t="str">
        <f>HYPERLINK("http://www.ncbi.nlm.nih.gov/sutils/blink.cgi?pid=263173263","1E-043")</f>
        <v>1E-043</v>
      </c>
      <c r="V278" t="str">
        <f>HYPERLINK("http://www.ncbi.nlm.nih.gov/protein/263173263","gi|263173263")</f>
        <v>gi|263173263</v>
      </c>
      <c r="W278">
        <v>177</v>
      </c>
      <c r="X278">
        <v>108</v>
      </c>
      <c r="Y278">
        <v>109</v>
      </c>
      <c r="Z278">
        <v>77</v>
      </c>
      <c r="AA278">
        <v>100</v>
      </c>
      <c r="AB278">
        <v>24</v>
      </c>
      <c r="AC278">
        <v>0</v>
      </c>
      <c r="AD278">
        <v>1</v>
      </c>
      <c r="AE278">
        <v>5</v>
      </c>
      <c r="AF278">
        <v>1</v>
      </c>
      <c r="AG278"/>
      <c r="AH278" t="s">
        <v>13</v>
      </c>
      <c r="AI278" t="s">
        <v>51</v>
      </c>
      <c r="AJ278" t="s">
        <v>280</v>
      </c>
      <c r="AK278" t="str">
        <f>HYPERLINK(".\links\SWISSP\TI-457-SWISSP.txt","Fatty acid-binding protein, muscle OS=Schistocerca gregaria PE=1 SV=2")</f>
        <v>Fatty acid-binding protein, muscle OS=Schistocerca gregaria PE=1 SV=2</v>
      </c>
      <c r="AL278" t="str">
        <f>HYPERLINK("http://www.uniprot.org/uniprot/P41496","3E-027")</f>
        <v>3E-027</v>
      </c>
      <c r="AM278" t="s">
        <v>235</v>
      </c>
      <c r="AN278">
        <v>120</v>
      </c>
      <c r="AO278">
        <v>111</v>
      </c>
      <c r="AP278">
        <v>134</v>
      </c>
      <c r="AQ278">
        <v>57</v>
      </c>
      <c r="AR278">
        <v>84</v>
      </c>
      <c r="AS278">
        <v>48</v>
      </c>
      <c r="AT278">
        <v>1</v>
      </c>
      <c r="AU278">
        <v>22</v>
      </c>
      <c r="AV278">
        <v>1</v>
      </c>
      <c r="AW278">
        <v>1</v>
      </c>
      <c r="AX278" t="s">
        <v>236</v>
      </c>
      <c r="AY278" t="str">
        <f>HYPERLINK(".\links\PREV-RHOD-PEP\TI-457-PREV-RHOD-PEP.txt","Contig18021_45")</f>
        <v>Contig18021_45</v>
      </c>
      <c r="AZ278" s="3">
        <v>5.0000000000000002E-57</v>
      </c>
      <c r="BA278" t="s">
        <v>1144</v>
      </c>
      <c r="BB278">
        <v>215</v>
      </c>
      <c r="BC278">
        <v>112</v>
      </c>
      <c r="BD278">
        <v>134</v>
      </c>
      <c r="BE278">
        <v>94</v>
      </c>
      <c r="BF278">
        <v>84</v>
      </c>
      <c r="BG278">
        <v>6</v>
      </c>
      <c r="BH278">
        <v>0</v>
      </c>
      <c r="BI278">
        <v>22</v>
      </c>
      <c r="BJ278">
        <v>1</v>
      </c>
      <c r="BK278">
        <v>1</v>
      </c>
      <c r="BL278" t="s">
        <v>905</v>
      </c>
      <c r="BM278">
        <f>HYPERLINK(".\links\GO\TI-457-GO.txt",1E-22)</f>
        <v>1E-22</v>
      </c>
      <c r="BN278" t="s">
        <v>906</v>
      </c>
      <c r="BO278" t="s">
        <v>340</v>
      </c>
      <c r="BP278" t="s">
        <v>907</v>
      </c>
      <c r="BQ278" t="s">
        <v>908</v>
      </c>
      <c r="BR278" s="3">
        <v>7.9999999999999993E-21</v>
      </c>
      <c r="BS278" t="s">
        <v>447</v>
      </c>
      <c r="BT278" t="s">
        <v>323</v>
      </c>
      <c r="BU278" t="s">
        <v>334</v>
      </c>
      <c r="BV278" t="s">
        <v>448</v>
      </c>
      <c r="BW278" s="3">
        <v>7.9999999999999993E-21</v>
      </c>
      <c r="BX278" t="s">
        <v>909</v>
      </c>
      <c r="BY278" t="s">
        <v>340</v>
      </c>
      <c r="BZ278" t="s">
        <v>907</v>
      </c>
      <c r="CA278" t="s">
        <v>910</v>
      </c>
      <c r="CB278" s="3">
        <v>7.9999999999999993E-21</v>
      </c>
      <c r="CC278" t="s">
        <v>8</v>
      </c>
      <c r="CD278"/>
      <c r="CE278"/>
      <c r="CF278" t="s">
        <v>8</v>
      </c>
      <c r="CG278"/>
      <c r="CH278"/>
      <c r="CI278" t="s">
        <v>8</v>
      </c>
      <c r="CJ278"/>
      <c r="CK278" t="s">
        <v>8</v>
      </c>
      <c r="CL278"/>
      <c r="CM278" t="s">
        <v>8</v>
      </c>
      <c r="CN278"/>
      <c r="CO278" t="s">
        <v>8</v>
      </c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 t="s">
        <v>8</v>
      </c>
      <c r="DD278"/>
      <c r="DE278"/>
      <c r="DF278"/>
      <c r="DG278"/>
      <c r="DH278"/>
      <c r="DI278"/>
      <c r="DJ278"/>
      <c r="DK278"/>
      <c r="DL278"/>
      <c r="DM278"/>
      <c r="DN278"/>
      <c r="DO278"/>
      <c r="DP278"/>
    </row>
    <row r="279" spans="1:120" s="4" customFormat="1">
      <c r="A279" t="str">
        <f>HYPERLINK(".\links\pep\TI-458-pep.txt","TI-458")</f>
        <v>TI-458</v>
      </c>
      <c r="B279">
        <v>458</v>
      </c>
      <c r="C279" t="s">
        <v>7</v>
      </c>
      <c r="D279">
        <v>376</v>
      </c>
      <c r="E279">
        <v>0</v>
      </c>
      <c r="F279" t="str">
        <f>HYPERLINK(".\links\cds\TI-458-cds.txt","TI-458")</f>
        <v>TI-458</v>
      </c>
      <c r="G279">
        <v>1131</v>
      </c>
      <c r="H279"/>
      <c r="I279" t="s">
        <v>29</v>
      </c>
      <c r="J279" t="s">
        <v>6</v>
      </c>
      <c r="K279">
        <v>7</v>
      </c>
      <c r="L279">
        <v>3</v>
      </c>
      <c r="M279">
        <f t="shared" si="14"/>
        <v>4</v>
      </c>
      <c r="N279">
        <f t="shared" si="15"/>
        <v>4</v>
      </c>
      <c r="O279" t="s">
        <v>1338</v>
      </c>
      <c r="P279" t="s">
        <v>1181</v>
      </c>
      <c r="Q279" t="str">
        <f>HYPERLINK(".\links\NR-LIGHT\TI-458-NR-LIGHT.txt","NR-LIGHT")</f>
        <v>NR-LIGHT</v>
      </c>
      <c r="R279">
        <v>0</v>
      </c>
      <c r="S279">
        <v>100</v>
      </c>
      <c r="T279" t="str">
        <f>HYPERLINK(".\links\NR-LIGHT\TI-458-NR-LIGHT.txt","actin 5C, isoform B")</f>
        <v>actin 5C, isoform B</v>
      </c>
      <c r="U279" t="str">
        <f>HYPERLINK("http://www.ncbi.nlm.nih.gov/sutils/blink.cgi?pid=17530805","0.0")</f>
        <v>0.0</v>
      </c>
      <c r="V279" t="str">
        <f>HYPERLINK("http://www.ncbi.nlm.nih.gov/protein/17530805","gi|17530805")</f>
        <v>gi|17530805</v>
      </c>
      <c r="W279">
        <v>784</v>
      </c>
      <c r="X279">
        <v>375</v>
      </c>
      <c r="Y279">
        <v>376</v>
      </c>
      <c r="Z279">
        <v>99</v>
      </c>
      <c r="AA279">
        <v>100</v>
      </c>
      <c r="AB279">
        <v>1</v>
      </c>
      <c r="AC279">
        <v>0</v>
      </c>
      <c r="AD279">
        <v>1</v>
      </c>
      <c r="AE279">
        <v>1</v>
      </c>
      <c r="AF279">
        <v>1</v>
      </c>
      <c r="AG279"/>
      <c r="AH279" t="s">
        <v>13</v>
      </c>
      <c r="AI279" t="s">
        <v>51</v>
      </c>
      <c r="AJ279" t="s">
        <v>275</v>
      </c>
      <c r="AK279" t="str">
        <f>HYPERLINK(".\links\SWISSP\TI-458-SWISSP.txt","Actin-5C OS=Anopheles gambiae GN=Act5C PE=2 SV=1")</f>
        <v>Actin-5C OS=Anopheles gambiae GN=Act5C PE=2 SV=1</v>
      </c>
      <c r="AL279" t="str">
        <f>HYPERLINK("http://www.uniprot.org/uniprot/P84185","0.0")</f>
        <v>0.0</v>
      </c>
      <c r="AM279" t="s">
        <v>237</v>
      </c>
      <c r="AN279">
        <v>784</v>
      </c>
      <c r="AO279">
        <v>375</v>
      </c>
      <c r="AP279">
        <v>376</v>
      </c>
      <c r="AQ279">
        <v>99</v>
      </c>
      <c r="AR279">
        <v>100</v>
      </c>
      <c r="AS279">
        <v>1</v>
      </c>
      <c r="AT279">
        <v>0</v>
      </c>
      <c r="AU279">
        <v>1</v>
      </c>
      <c r="AV279">
        <v>1</v>
      </c>
      <c r="AW279">
        <v>1</v>
      </c>
      <c r="AX279" t="s">
        <v>110</v>
      </c>
      <c r="AY279" t="str">
        <f>HYPERLINK(".\links\PREV-RHOD-PEP\TI-458-PREV-RHOD-PEP.txt","Contig16250_1")</f>
        <v>Contig16250_1</v>
      </c>
      <c r="AZ279">
        <v>0</v>
      </c>
      <c r="BA279" t="s">
        <v>1145</v>
      </c>
      <c r="BB279">
        <v>771</v>
      </c>
      <c r="BC279">
        <v>375</v>
      </c>
      <c r="BD279">
        <v>376</v>
      </c>
      <c r="BE279">
        <v>97</v>
      </c>
      <c r="BF279">
        <v>100</v>
      </c>
      <c r="BG279">
        <v>11</v>
      </c>
      <c r="BH279">
        <v>0</v>
      </c>
      <c r="BI279">
        <v>1</v>
      </c>
      <c r="BJ279">
        <v>1</v>
      </c>
      <c r="BK279">
        <v>1</v>
      </c>
      <c r="BL279" t="s">
        <v>911</v>
      </c>
      <c r="BM279">
        <f>HYPERLINK(".\links\GO\TI-458-GO.txt",0)</f>
        <v>0</v>
      </c>
      <c r="BN279" t="s">
        <v>912</v>
      </c>
      <c r="BO279" t="s">
        <v>330</v>
      </c>
      <c r="BP279" t="s">
        <v>913</v>
      </c>
      <c r="BQ279" t="s">
        <v>914</v>
      </c>
      <c r="BR279">
        <v>0</v>
      </c>
      <c r="BS279" t="s">
        <v>915</v>
      </c>
      <c r="BT279" t="s">
        <v>323</v>
      </c>
      <c r="BU279" t="s">
        <v>551</v>
      </c>
      <c r="BV279" t="s">
        <v>916</v>
      </c>
      <c r="BW279">
        <v>0</v>
      </c>
      <c r="BX279" t="s">
        <v>917</v>
      </c>
      <c r="BY279" t="s">
        <v>330</v>
      </c>
      <c r="BZ279" t="s">
        <v>913</v>
      </c>
      <c r="CA279" t="s">
        <v>918</v>
      </c>
      <c r="CB279">
        <v>0</v>
      </c>
      <c r="CC279" t="s">
        <v>8</v>
      </c>
      <c r="CD279"/>
      <c r="CE279"/>
      <c r="CF279" t="s">
        <v>8</v>
      </c>
      <c r="CG279"/>
      <c r="CH279"/>
      <c r="CI279" t="s">
        <v>8</v>
      </c>
      <c r="CJ279"/>
      <c r="CK279" t="s">
        <v>8</v>
      </c>
      <c r="CL279"/>
      <c r="CM279" t="s">
        <v>8</v>
      </c>
      <c r="CN279"/>
      <c r="CO279" t="s">
        <v>8</v>
      </c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 t="s">
        <v>8</v>
      </c>
      <c r="DD279"/>
      <c r="DE279"/>
      <c r="DF279"/>
      <c r="DG279"/>
      <c r="DH279"/>
      <c r="DI279"/>
      <c r="DJ279"/>
      <c r="DK279"/>
      <c r="DL279"/>
      <c r="DM279"/>
      <c r="DN279"/>
      <c r="DO279"/>
      <c r="DP279"/>
    </row>
    <row r="280" spans="1:120" s="4" customFormat="1">
      <c r="A280" s="6" t="str">
        <f>HYPERLINK(".\links\pep\TI-460-pep.txt","TI-460")</f>
        <v>TI-460</v>
      </c>
      <c r="B280" s="6">
        <v>460</v>
      </c>
      <c r="C280" s="6" t="s">
        <v>15</v>
      </c>
      <c r="D280" s="6">
        <v>104</v>
      </c>
      <c r="E280" s="7">
        <v>10.576919999999999</v>
      </c>
      <c r="F280" s="6" t="str">
        <f>HYPERLINK(".\links\cds\TI-460-cds.txt","TI-460")</f>
        <v>TI-460</v>
      </c>
      <c r="G280" s="6">
        <v>315</v>
      </c>
      <c r="H280" s="6" t="s">
        <v>24</v>
      </c>
      <c r="I280" s="6" t="s">
        <v>8</v>
      </c>
      <c r="J280" s="6" t="s">
        <v>6</v>
      </c>
      <c r="K280" s="6">
        <v>1</v>
      </c>
      <c r="L280" s="6">
        <v>0</v>
      </c>
      <c r="M280" s="6">
        <f t="shared" si="14"/>
        <v>1</v>
      </c>
      <c r="N280" s="6">
        <f t="shared" si="15"/>
        <v>1</v>
      </c>
      <c r="O280" s="6" t="s">
        <v>1170</v>
      </c>
      <c r="P280" s="6" t="s">
        <v>1171</v>
      </c>
      <c r="Q280" s="6"/>
      <c r="R280" s="6"/>
      <c r="S280" s="6"/>
      <c r="T280" s="6" t="str">
        <f>HYPERLINK(".\links\NR-LIGHT\TI-460-NR-LIGHT.txt","hypothetical protein AND_19389")</f>
        <v>hypothetical protein AND_19389</v>
      </c>
      <c r="U280" s="6" t="str">
        <f>HYPERLINK("http://www.ncbi.nlm.nih.gov/sutils/blink.cgi?pid=312372995","6.8")</f>
        <v>6.8</v>
      </c>
      <c r="V280" s="6" t="str">
        <f>HYPERLINK("http://www.ncbi.nlm.nih.gov/protein/312372995","gi|312372995")</f>
        <v>gi|312372995</v>
      </c>
      <c r="W280" s="6">
        <v>31.6</v>
      </c>
      <c r="X280" s="6">
        <v>29</v>
      </c>
      <c r="Y280" s="6">
        <v>491</v>
      </c>
      <c r="Z280" s="6">
        <v>40</v>
      </c>
      <c r="AA280" s="6">
        <v>6</v>
      </c>
      <c r="AB280" s="6">
        <v>18</v>
      </c>
      <c r="AC280" s="6">
        <v>0</v>
      </c>
      <c r="AD280" s="6">
        <v>413</v>
      </c>
      <c r="AE280" s="6">
        <v>10</v>
      </c>
      <c r="AF280" s="6">
        <v>1</v>
      </c>
      <c r="AG280" s="6"/>
      <c r="AH280" s="6" t="s">
        <v>13</v>
      </c>
      <c r="AI280" s="6" t="s">
        <v>51</v>
      </c>
      <c r="AJ280" s="6" t="s">
        <v>271</v>
      </c>
      <c r="AK280" s="6" t="s">
        <v>8</v>
      </c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 t="s">
        <v>8</v>
      </c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 t="s">
        <v>8</v>
      </c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 t="s">
        <v>8</v>
      </c>
      <c r="CD280" s="6"/>
      <c r="CE280" s="6"/>
      <c r="CF280" s="6" t="s">
        <v>8</v>
      </c>
      <c r="CG280" s="6"/>
      <c r="CH280" s="6"/>
      <c r="CI280" s="6" t="s">
        <v>8</v>
      </c>
      <c r="CJ280" s="6"/>
      <c r="CK280" s="6" t="s">
        <v>8</v>
      </c>
      <c r="CL280" s="6"/>
      <c r="CM280" s="6" t="s">
        <v>8</v>
      </c>
      <c r="CN280" s="6"/>
      <c r="CO280" s="6" t="s">
        <v>8</v>
      </c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 t="s">
        <v>8</v>
      </c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</row>
    <row r="281" spans="1:120" s="4" customFormat="1">
      <c r="A281" t="str">
        <f>HYPERLINK(".\links\pep\TI-461-pep.txt","TI-461")</f>
        <v>TI-461</v>
      </c>
      <c r="B281">
        <v>461</v>
      </c>
      <c r="C281" t="s">
        <v>12</v>
      </c>
      <c r="D281">
        <v>75</v>
      </c>
      <c r="E281">
        <v>0</v>
      </c>
      <c r="F281" t="str">
        <f>HYPERLINK(".\links\cds\TI-461-cds.txt","TI-461")</f>
        <v>TI-461</v>
      </c>
      <c r="G281">
        <v>228</v>
      </c>
      <c r="H281"/>
      <c r="I281" t="s">
        <v>8</v>
      </c>
      <c r="J281" t="s">
        <v>6</v>
      </c>
      <c r="K281">
        <v>1</v>
      </c>
      <c r="L281">
        <v>0</v>
      </c>
      <c r="M281">
        <f t="shared" si="14"/>
        <v>1</v>
      </c>
      <c r="N281">
        <f t="shared" si="15"/>
        <v>1</v>
      </c>
      <c r="O281" t="s">
        <v>1235</v>
      </c>
      <c r="P281" t="s">
        <v>1208</v>
      </c>
      <c r="Q281" t="str">
        <f>HYPERLINK(".\links\GO\TI-461-GO.txt","GO")</f>
        <v>GO</v>
      </c>
      <c r="R281">
        <v>2.9999999999999998E-13</v>
      </c>
      <c r="S281">
        <v>34</v>
      </c>
      <c r="T281" t="str">
        <f>HYPERLINK(".\links\NR-LIGHT\TI-461-NR-LIGHT.txt","hypothetical protein BRAFLDRAFT_108193")</f>
        <v>hypothetical protein BRAFLDRAFT_108193</v>
      </c>
      <c r="U281" t="str">
        <f>HYPERLINK("http://www.ncbi.nlm.nih.gov/sutils/blink.cgi?pid=260822352","4E-015")</f>
        <v>4E-015</v>
      </c>
      <c r="V281" t="str">
        <f>HYPERLINK("http://www.ncbi.nlm.nih.gov/protein/260822352","gi|260822352")</f>
        <v>gi|260822352</v>
      </c>
      <c r="W281">
        <v>82.4</v>
      </c>
      <c r="X281">
        <v>69</v>
      </c>
      <c r="Y281">
        <v>202</v>
      </c>
      <c r="Z281">
        <v>50</v>
      </c>
      <c r="AA281">
        <v>35</v>
      </c>
      <c r="AB281">
        <v>35</v>
      </c>
      <c r="AC281">
        <v>0</v>
      </c>
      <c r="AD281">
        <v>131</v>
      </c>
      <c r="AE281">
        <v>5</v>
      </c>
      <c r="AF281">
        <v>1</v>
      </c>
      <c r="AG281"/>
      <c r="AH281" t="s">
        <v>13</v>
      </c>
      <c r="AI281" t="s">
        <v>51</v>
      </c>
      <c r="AJ281" t="s">
        <v>301</v>
      </c>
      <c r="AK281" t="str">
        <f>HYPERLINK(".\links\SWISSP\TI-461-SWISSP.txt","COMM domain-containing protein 7 OS=Mus musculus GN=Commd7 PE=2 SV=1")</f>
        <v>COMM domain-containing protein 7 OS=Mus musculus GN=Commd7 PE=2 SV=1</v>
      </c>
      <c r="AL281" t="str">
        <f>HYPERLINK("http://www.uniprot.org/uniprot/Q8BG94","1E-012")</f>
        <v>1E-012</v>
      </c>
      <c r="AM281" t="s">
        <v>238</v>
      </c>
      <c r="AN281">
        <v>72</v>
      </c>
      <c r="AO281">
        <v>68</v>
      </c>
      <c r="AP281">
        <v>200</v>
      </c>
      <c r="AQ281">
        <v>44</v>
      </c>
      <c r="AR281">
        <v>35</v>
      </c>
      <c r="AS281">
        <v>38</v>
      </c>
      <c r="AT281">
        <v>0</v>
      </c>
      <c r="AU281">
        <v>129</v>
      </c>
      <c r="AV281">
        <v>5</v>
      </c>
      <c r="AW281">
        <v>1</v>
      </c>
      <c r="AX281" t="s">
        <v>87</v>
      </c>
      <c r="AY281" t="s">
        <v>8</v>
      </c>
      <c r="AZ281"/>
      <c r="BA281"/>
      <c r="BB281"/>
      <c r="BC281"/>
      <c r="BD281"/>
      <c r="BE281"/>
      <c r="BF281"/>
      <c r="BG281"/>
      <c r="BH281"/>
      <c r="BI281"/>
      <c r="BJ281"/>
      <c r="BK281"/>
      <c r="BL281" t="s">
        <v>919</v>
      </c>
      <c r="BM281">
        <f>HYPERLINK(".\links\GO\TI-461-GO.txt",0.0000000000003)</f>
        <v>2.9999999999999998E-13</v>
      </c>
      <c r="BN281" t="s">
        <v>373</v>
      </c>
      <c r="BO281" t="s">
        <v>373</v>
      </c>
      <c r="BP281"/>
      <c r="BQ281" t="s">
        <v>374</v>
      </c>
      <c r="BR281">
        <v>2.9999999999999998E-13</v>
      </c>
      <c r="BS281" t="s">
        <v>375</v>
      </c>
      <c r="BT281" t="s">
        <v>375</v>
      </c>
      <c r="BU281"/>
      <c r="BV281" t="s">
        <v>376</v>
      </c>
      <c r="BW281">
        <v>2.9999999999999998E-13</v>
      </c>
      <c r="BX281" t="s">
        <v>380</v>
      </c>
      <c r="BY281" t="s">
        <v>373</v>
      </c>
      <c r="BZ281"/>
      <c r="CA281" t="s">
        <v>381</v>
      </c>
      <c r="CB281">
        <v>2.9999999999999998E-13</v>
      </c>
      <c r="CC281" t="s">
        <v>8</v>
      </c>
      <c r="CD281"/>
      <c r="CE281"/>
      <c r="CF281" t="s">
        <v>8</v>
      </c>
      <c r="CG281"/>
      <c r="CH281"/>
      <c r="CI281" t="s">
        <v>8</v>
      </c>
      <c r="CJ281"/>
      <c r="CK281" t="s">
        <v>8</v>
      </c>
      <c r="CL281"/>
      <c r="CM281" t="s">
        <v>8</v>
      </c>
      <c r="CN281"/>
      <c r="CO281" t="s">
        <v>8</v>
      </c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 t="s">
        <v>8</v>
      </c>
      <c r="DD281"/>
      <c r="DE281"/>
      <c r="DF281"/>
      <c r="DG281"/>
      <c r="DH281"/>
      <c r="DI281"/>
      <c r="DJ281"/>
      <c r="DK281"/>
      <c r="DL281"/>
      <c r="DM281"/>
      <c r="DN281"/>
      <c r="DO281"/>
      <c r="DP281"/>
    </row>
    <row r="282" spans="1:120" s="4" customFormat="1">
      <c r="A282" s="6" t="str">
        <f>HYPERLINK(".\links\pep\TI-462-pep.txt","TI-462")</f>
        <v>TI-462</v>
      </c>
      <c r="B282" s="6">
        <v>462</v>
      </c>
      <c r="C282" s="6" t="s">
        <v>15</v>
      </c>
      <c r="D282" s="6">
        <v>59</v>
      </c>
      <c r="E282" s="6">
        <v>0</v>
      </c>
      <c r="F282" s="6" t="str">
        <f>HYPERLINK(".\links\cds\TI-462-cds.txt","TI-462")</f>
        <v>TI-462</v>
      </c>
      <c r="G282" s="6">
        <v>180</v>
      </c>
      <c r="H282" s="6"/>
      <c r="I282" s="6" t="s">
        <v>8</v>
      </c>
      <c r="J282" s="6" t="s">
        <v>6</v>
      </c>
      <c r="K282" s="6">
        <v>1</v>
      </c>
      <c r="L282" s="6">
        <v>0</v>
      </c>
      <c r="M282" s="6">
        <f t="shared" si="14"/>
        <v>1</v>
      </c>
      <c r="N282" s="6">
        <f t="shared" si="15"/>
        <v>1</v>
      </c>
      <c r="O282" s="6" t="s">
        <v>1170</v>
      </c>
      <c r="P282" s="6" t="s">
        <v>1171</v>
      </c>
      <c r="Q282" s="6"/>
      <c r="R282" s="6"/>
      <c r="S282" s="6"/>
      <c r="T282" s="6" t="str">
        <f>HYPERLINK(".\links\NR-LIGHT\TI-462-NR-LIGHT.txt","conserved hypothetical protein")</f>
        <v>conserved hypothetical protein</v>
      </c>
      <c r="U282" s="6" t="str">
        <f>HYPERLINK("http://www.ncbi.nlm.nih.gov/sutils/blink.cgi?pid=221485776","0.58")</f>
        <v>0.58</v>
      </c>
      <c r="V282" s="6" t="str">
        <f>HYPERLINK("http://www.ncbi.nlm.nih.gov/protein/221485776","gi|221485776")</f>
        <v>gi|221485776</v>
      </c>
      <c r="W282" s="6">
        <v>35.4</v>
      </c>
      <c r="X282" s="6">
        <v>50</v>
      </c>
      <c r="Y282" s="6">
        <v>445</v>
      </c>
      <c r="Z282" s="6">
        <v>31</v>
      </c>
      <c r="AA282" s="6">
        <v>11</v>
      </c>
      <c r="AB282" s="6">
        <v>35</v>
      </c>
      <c r="AC282" s="6">
        <v>1</v>
      </c>
      <c r="AD282" s="6">
        <v>368</v>
      </c>
      <c r="AE282" s="6">
        <v>1</v>
      </c>
      <c r="AF282" s="6">
        <v>1</v>
      </c>
      <c r="AG282" s="6"/>
      <c r="AH282" s="6" t="s">
        <v>13</v>
      </c>
      <c r="AI282" s="6" t="s">
        <v>51</v>
      </c>
      <c r="AJ282" s="6" t="s">
        <v>299</v>
      </c>
      <c r="AK282" s="6" t="s">
        <v>8</v>
      </c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 t="s">
        <v>8</v>
      </c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 t="s">
        <v>8</v>
      </c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 t="s">
        <v>8</v>
      </c>
      <c r="CD282" s="6"/>
      <c r="CE282" s="6"/>
      <c r="CF282" s="6" t="s">
        <v>8</v>
      </c>
      <c r="CG282" s="6"/>
      <c r="CH282" s="6"/>
      <c r="CI282" s="6" t="s">
        <v>8</v>
      </c>
      <c r="CJ282" s="6"/>
      <c r="CK282" s="6" t="s">
        <v>8</v>
      </c>
      <c r="CL282" s="6"/>
      <c r="CM282" s="6" t="s">
        <v>8</v>
      </c>
      <c r="CN282" s="6"/>
      <c r="CO282" s="6" t="s">
        <v>8</v>
      </c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 t="s">
        <v>8</v>
      </c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</row>
    <row r="283" spans="1:120" s="4" customFormat="1">
      <c r="A283" s="6" t="str">
        <f>HYPERLINK(".\links\pep\TI-465-pep.txt","TI-465")</f>
        <v>TI-465</v>
      </c>
      <c r="B283" s="6">
        <v>465</v>
      </c>
      <c r="C283" s="6" t="s">
        <v>27</v>
      </c>
      <c r="D283" s="6">
        <v>117</v>
      </c>
      <c r="E283" s="6">
        <v>0</v>
      </c>
      <c r="F283" s="6" t="str">
        <f>HYPERLINK(".\links\cds\TI-465-cds.txt","TI-465")</f>
        <v>TI-465</v>
      </c>
      <c r="G283" s="6">
        <v>354</v>
      </c>
      <c r="H283" s="6"/>
      <c r="I283" s="6" t="s">
        <v>8</v>
      </c>
      <c r="J283" s="6" t="s">
        <v>6</v>
      </c>
      <c r="K283" s="6">
        <v>1</v>
      </c>
      <c r="L283" s="6">
        <v>2</v>
      </c>
      <c r="M283" s="6">
        <f t="shared" si="14"/>
        <v>-1</v>
      </c>
      <c r="N283" s="6">
        <f t="shared" si="15"/>
        <v>1</v>
      </c>
      <c r="O283" s="6" t="s">
        <v>1170</v>
      </c>
      <c r="P283" s="6" t="s">
        <v>1171</v>
      </c>
      <c r="Q283" s="6"/>
      <c r="R283" s="6"/>
      <c r="S283" s="6"/>
      <c r="T283" s="6" t="str">
        <f>HYPERLINK(".\links\NR-LIGHT\TI-465-NR-LIGHT.txt","trpm, isoform F")</f>
        <v>trpm, isoform F</v>
      </c>
      <c r="U283" s="6" t="str">
        <f>HYPERLINK("http://www.ncbi.nlm.nih.gov/sutils/blink.cgi?pid=221330281","0.097")</f>
        <v>0.097</v>
      </c>
      <c r="V283" s="6" t="str">
        <f>HYPERLINK("http://www.ncbi.nlm.nih.gov/protein/221330281","gi|221330281")</f>
        <v>gi|221330281</v>
      </c>
      <c r="W283" s="6">
        <v>37.700000000000003</v>
      </c>
      <c r="X283" s="6">
        <v>75</v>
      </c>
      <c r="Y283" s="6">
        <v>1942</v>
      </c>
      <c r="Z283" s="6">
        <v>33</v>
      </c>
      <c r="AA283" s="6">
        <v>4</v>
      </c>
      <c r="AB283" s="6">
        <v>57</v>
      </c>
      <c r="AC283" s="6">
        <v>11</v>
      </c>
      <c r="AD283" s="6">
        <v>1492</v>
      </c>
      <c r="AE283" s="6">
        <v>21</v>
      </c>
      <c r="AF283" s="6">
        <v>1</v>
      </c>
      <c r="AG283" s="6"/>
      <c r="AH283" s="6" t="s">
        <v>13</v>
      </c>
      <c r="AI283" s="6" t="s">
        <v>51</v>
      </c>
      <c r="AJ283" s="6" t="s">
        <v>52</v>
      </c>
      <c r="AK283" s="6" t="s">
        <v>8</v>
      </c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 t="str">
        <f>HYPERLINK(".\links\PREV-RHOD-PEP\TI-465-PREV-RHOD-PEP.txt","Contig7471_2")</f>
        <v>Contig7471_2</v>
      </c>
      <c r="AZ283" s="8">
        <v>4.0000000000000002E-22</v>
      </c>
      <c r="BA283" s="6" t="s">
        <v>1069</v>
      </c>
      <c r="BB283" s="6">
        <v>99.4</v>
      </c>
      <c r="BC283" s="6">
        <v>109</v>
      </c>
      <c r="BD283" s="6">
        <v>410</v>
      </c>
      <c r="BE283" s="6">
        <v>47</v>
      </c>
      <c r="BF283" s="6">
        <v>27</v>
      </c>
      <c r="BG283" s="6">
        <v>58</v>
      </c>
      <c r="BH283" s="6">
        <v>3</v>
      </c>
      <c r="BI283" s="6">
        <v>145</v>
      </c>
      <c r="BJ283" s="6">
        <v>8</v>
      </c>
      <c r="BK283" s="6">
        <v>1</v>
      </c>
      <c r="BL283" s="6" t="s">
        <v>920</v>
      </c>
      <c r="BM283" s="6">
        <f>HYPERLINK(".\links\GO\TI-465-GO.txt",0.005)</f>
        <v>5.0000000000000001E-3</v>
      </c>
      <c r="BN283" s="6" t="s">
        <v>921</v>
      </c>
      <c r="BO283" s="6" t="s">
        <v>345</v>
      </c>
      <c r="BP283" s="6" t="s">
        <v>346</v>
      </c>
      <c r="BQ283" s="6" t="s">
        <v>922</v>
      </c>
      <c r="BR283" s="6">
        <v>5.0000000000000001E-3</v>
      </c>
      <c r="BS283" s="6" t="s">
        <v>8</v>
      </c>
      <c r="BT283" s="6" t="s">
        <v>8</v>
      </c>
      <c r="BU283" s="6" t="s">
        <v>8</v>
      </c>
      <c r="BV283" s="6" t="s">
        <v>8</v>
      </c>
      <c r="BW283" s="6" t="s">
        <v>8</v>
      </c>
      <c r="BX283" s="6" t="s">
        <v>923</v>
      </c>
      <c r="BY283" s="6" t="s">
        <v>345</v>
      </c>
      <c r="BZ283" s="6" t="s">
        <v>346</v>
      </c>
      <c r="CA283" s="6" t="s">
        <v>924</v>
      </c>
      <c r="CB283" s="6">
        <v>5.0000000000000001E-3</v>
      </c>
      <c r="CC283" s="6" t="s">
        <v>8</v>
      </c>
      <c r="CD283" s="6"/>
      <c r="CE283" s="6"/>
      <c r="CF283" s="6" t="s">
        <v>8</v>
      </c>
      <c r="CG283" s="6"/>
      <c r="CH283" s="6"/>
      <c r="CI283" s="6" t="s">
        <v>8</v>
      </c>
      <c r="CJ283" s="6"/>
      <c r="CK283" s="6" t="s">
        <v>8</v>
      </c>
      <c r="CL283" s="6"/>
      <c r="CM283" s="6" t="s">
        <v>8</v>
      </c>
      <c r="CN283" s="6"/>
      <c r="CO283" s="6" t="s">
        <v>8</v>
      </c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 t="s">
        <v>8</v>
      </c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</row>
    <row r="284" spans="1:120" s="4" customFormat="1">
      <c r="A284" s="6" t="str">
        <f>HYPERLINK(".\links\pep\TI-466-pep.txt","TI-466")</f>
        <v>TI-466</v>
      </c>
      <c r="B284" s="6">
        <v>466</v>
      </c>
      <c r="C284" s="6" t="s">
        <v>10</v>
      </c>
      <c r="D284" s="6">
        <v>64</v>
      </c>
      <c r="E284" s="6">
        <v>0</v>
      </c>
      <c r="F284" s="6" t="str">
        <f>HYPERLINK(".\links\cds\TI-466-cds.txt","TI-466")</f>
        <v>TI-466</v>
      </c>
      <c r="G284" s="6">
        <v>192</v>
      </c>
      <c r="H284" s="6"/>
      <c r="I284" s="6" t="s">
        <v>8</v>
      </c>
      <c r="J284" s="6" t="s">
        <v>8</v>
      </c>
      <c r="K284" s="6">
        <v>0</v>
      </c>
      <c r="L284" s="6">
        <v>3</v>
      </c>
      <c r="M284" s="6">
        <f t="shared" si="14"/>
        <v>-3</v>
      </c>
      <c r="N284" s="6">
        <f t="shared" si="15"/>
        <v>3</v>
      </c>
      <c r="O284" s="6" t="s">
        <v>1170</v>
      </c>
      <c r="P284" s="6" t="s">
        <v>1171</v>
      </c>
      <c r="Q284" s="6"/>
      <c r="R284" s="6"/>
      <c r="S284" s="6"/>
      <c r="T284" s="6" t="s">
        <v>8</v>
      </c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 t="s">
        <v>8</v>
      </c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 t="s">
        <v>8</v>
      </c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 t="s">
        <v>8</v>
      </c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 t="s">
        <v>8</v>
      </c>
      <c r="CD284" s="6"/>
      <c r="CE284" s="6"/>
      <c r="CF284" s="6" t="s">
        <v>8</v>
      </c>
      <c r="CG284" s="6"/>
      <c r="CH284" s="6"/>
      <c r="CI284" s="6" t="s">
        <v>8</v>
      </c>
      <c r="CJ284" s="6"/>
      <c r="CK284" s="6" t="s">
        <v>8</v>
      </c>
      <c r="CL284" s="6"/>
      <c r="CM284" s="6" t="s">
        <v>8</v>
      </c>
      <c r="CN284" s="6"/>
      <c r="CO284" s="6" t="s">
        <v>8</v>
      </c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 t="s">
        <v>8</v>
      </c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</row>
    <row r="285" spans="1:120" s="4" customFormat="1">
      <c r="A285" t="str">
        <f>HYPERLINK(".\links\pep\TI-467-pep.txt","TI-467")</f>
        <v>TI-467</v>
      </c>
      <c r="B285">
        <v>467</v>
      </c>
      <c r="C285" t="s">
        <v>7</v>
      </c>
      <c r="D285">
        <v>143</v>
      </c>
      <c r="E285">
        <v>0</v>
      </c>
      <c r="F285" t="str">
        <f>HYPERLINK(".\links\cds\TI-467-cds.txt","TI-467")</f>
        <v>TI-467</v>
      </c>
      <c r="G285">
        <v>428</v>
      </c>
      <c r="H285"/>
      <c r="I285" t="s">
        <v>29</v>
      </c>
      <c r="J285" t="s">
        <v>8</v>
      </c>
      <c r="K285">
        <v>1</v>
      </c>
      <c r="L285">
        <v>0</v>
      </c>
      <c r="M285">
        <f t="shared" si="14"/>
        <v>1</v>
      </c>
      <c r="N285">
        <f t="shared" si="15"/>
        <v>1</v>
      </c>
      <c r="O285" t="s">
        <v>1339</v>
      </c>
      <c r="P285" t="s">
        <v>1178</v>
      </c>
      <c r="Q285" t="str">
        <f>HYPERLINK(".\links\NR-LIGHT\TI-467-NR-LIGHT.txt","NR-LIGHT")</f>
        <v>NR-LIGHT</v>
      </c>
      <c r="R285" s="3">
        <v>4.9999999999999996E-25</v>
      </c>
      <c r="S285">
        <v>76.400000000000006</v>
      </c>
      <c r="T285" t="str">
        <f>HYPERLINK(".\links\NR-LIGHT\TI-467-NR-LIGHT.txt","box H/ACA snoRNP, putative")</f>
        <v>box H/ACA snoRNP, putative</v>
      </c>
      <c r="U285" t="str">
        <f>HYPERLINK("http://www.ncbi.nlm.nih.gov/sutils/blink.cgi?pid=241855547","5E-025")</f>
        <v>5E-025</v>
      </c>
      <c r="V285" t="str">
        <f>HYPERLINK("http://www.ncbi.nlm.nih.gov/protein/241855547","gi|241855547")</f>
        <v>gi|241855547</v>
      </c>
      <c r="W285">
        <v>115</v>
      </c>
      <c r="X285">
        <v>139</v>
      </c>
      <c r="Y285">
        <v>187</v>
      </c>
      <c r="Z285">
        <v>44</v>
      </c>
      <c r="AA285">
        <v>75</v>
      </c>
      <c r="AB285">
        <v>79</v>
      </c>
      <c r="AC285">
        <v>3</v>
      </c>
      <c r="AD285">
        <v>1</v>
      </c>
      <c r="AE285">
        <v>1</v>
      </c>
      <c r="AF285">
        <v>1</v>
      </c>
      <c r="AG285"/>
      <c r="AH285" t="s">
        <v>13</v>
      </c>
      <c r="AI285" t="s">
        <v>51</v>
      </c>
      <c r="AJ285" t="s">
        <v>281</v>
      </c>
      <c r="AK285" t="str">
        <f>HYPERLINK(".\links\SWISSP\TI-467-SWISSP.txt","H/ACA ribonucleoprotein complex subunit 2-like protein OS=Drosophila")</f>
        <v>H/ACA ribonucleoprotein complex subunit 2-like protein OS=Drosophila</v>
      </c>
      <c r="AL285" t="str">
        <f>HYPERLINK("http://www.uniprot.org/uniprot/Q9V3U2","1E-017")</f>
        <v>1E-017</v>
      </c>
      <c r="AM285" t="s">
        <v>239</v>
      </c>
      <c r="AN285">
        <v>88.6</v>
      </c>
      <c r="AO285">
        <v>93</v>
      </c>
      <c r="AP285">
        <v>160</v>
      </c>
      <c r="AQ285">
        <v>46</v>
      </c>
      <c r="AR285">
        <v>59</v>
      </c>
      <c r="AS285">
        <v>50</v>
      </c>
      <c r="AT285">
        <v>3</v>
      </c>
      <c r="AU285">
        <v>19</v>
      </c>
      <c r="AV285">
        <v>52</v>
      </c>
      <c r="AW285">
        <v>1</v>
      </c>
      <c r="AX285" t="s">
        <v>52</v>
      </c>
      <c r="AY285" t="str">
        <f>HYPERLINK(".\links\PREV-RHOD-PEP\TI-467-PREV-RHOD-PEP.txt","Contig18001_14")</f>
        <v>Contig18001_14</v>
      </c>
      <c r="AZ285" s="3">
        <v>1.0000000000000001E-17</v>
      </c>
      <c r="BA285" t="s">
        <v>1146</v>
      </c>
      <c r="BB285">
        <v>84.7</v>
      </c>
      <c r="BC285">
        <v>85</v>
      </c>
      <c r="BD285">
        <v>161</v>
      </c>
      <c r="BE285">
        <v>46</v>
      </c>
      <c r="BF285">
        <v>53</v>
      </c>
      <c r="BG285">
        <v>46</v>
      </c>
      <c r="BH285">
        <v>0</v>
      </c>
      <c r="BI285">
        <v>28</v>
      </c>
      <c r="BJ285">
        <v>57</v>
      </c>
      <c r="BK285">
        <v>1</v>
      </c>
      <c r="BL285" t="s">
        <v>925</v>
      </c>
      <c r="BM285">
        <f>HYPERLINK(".\links\GO\TI-467-GO.txt",0.000000000000000003)</f>
        <v>2.9999999999999998E-18</v>
      </c>
      <c r="BN285" t="s">
        <v>926</v>
      </c>
      <c r="BO285" t="s">
        <v>340</v>
      </c>
      <c r="BP285" t="s">
        <v>468</v>
      </c>
      <c r="BQ285" t="s">
        <v>927</v>
      </c>
      <c r="BR285" s="3">
        <v>2.9999999999999998E-18</v>
      </c>
      <c r="BS285" t="s">
        <v>513</v>
      </c>
      <c r="BT285" t="s">
        <v>477</v>
      </c>
      <c r="BU285" t="s">
        <v>477</v>
      </c>
      <c r="BV285" t="s">
        <v>514</v>
      </c>
      <c r="BW285" s="3">
        <v>2.9999999999999998E-18</v>
      </c>
      <c r="BX285" t="s">
        <v>515</v>
      </c>
      <c r="BY285" t="s">
        <v>340</v>
      </c>
      <c r="BZ285" t="s">
        <v>468</v>
      </c>
      <c r="CA285" t="s">
        <v>516</v>
      </c>
      <c r="CB285" s="3">
        <v>2.9999999999999998E-18</v>
      </c>
      <c r="CC285" t="s">
        <v>8</v>
      </c>
      <c r="CD285"/>
      <c r="CE285"/>
      <c r="CF285" t="s">
        <v>8</v>
      </c>
      <c r="CG285"/>
      <c r="CH285"/>
      <c r="CI285" t="s">
        <v>8</v>
      </c>
      <c r="CJ285"/>
      <c r="CK285" t="s">
        <v>8</v>
      </c>
      <c r="CL285"/>
      <c r="CM285" t="s">
        <v>8</v>
      </c>
      <c r="CN285"/>
      <c r="CO285" t="s">
        <v>8</v>
      </c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 t="s">
        <v>8</v>
      </c>
      <c r="DD285"/>
      <c r="DE285"/>
      <c r="DF285"/>
      <c r="DG285"/>
      <c r="DH285"/>
      <c r="DI285"/>
      <c r="DJ285"/>
      <c r="DK285"/>
      <c r="DL285"/>
      <c r="DM285"/>
      <c r="DN285"/>
      <c r="DO285"/>
      <c r="DP285"/>
    </row>
    <row r="286" spans="1:120" s="4" customFormat="1">
      <c r="A286" t="str">
        <f>HYPERLINK(".\links\pep\TI-468-pep.txt","TI-468")</f>
        <v>TI-468</v>
      </c>
      <c r="B286">
        <v>468</v>
      </c>
      <c r="C286" t="s">
        <v>7</v>
      </c>
      <c r="D286">
        <v>100</v>
      </c>
      <c r="E286">
        <v>0</v>
      </c>
      <c r="F286" t="str">
        <f>HYPERLINK(".\links\cds\TI-468-cds.txt","TI-468")</f>
        <v>TI-468</v>
      </c>
      <c r="G286">
        <v>303</v>
      </c>
      <c r="H286"/>
      <c r="I286" t="s">
        <v>29</v>
      </c>
      <c r="J286" t="s">
        <v>6</v>
      </c>
      <c r="K286">
        <v>0</v>
      </c>
      <c r="L286">
        <v>2</v>
      </c>
      <c r="M286">
        <f t="shared" si="14"/>
        <v>-2</v>
      </c>
      <c r="N286">
        <f t="shared" si="15"/>
        <v>2</v>
      </c>
      <c r="O286" t="s">
        <v>1205</v>
      </c>
      <c r="P286" t="s">
        <v>1178</v>
      </c>
      <c r="Q286" t="str">
        <f>HYPERLINK(".\links\NR-LIGHT\TI-468-NR-LIGHT.txt","NR-LIGHT")</f>
        <v>NR-LIGHT</v>
      </c>
      <c r="R286" s="3">
        <v>3.9999999999999997E-24</v>
      </c>
      <c r="S286">
        <v>82</v>
      </c>
      <c r="T286" t="str">
        <f>HYPERLINK(".\links\NR-LIGHT\TI-468-NR-LIGHT.txt","hypothetical protein")</f>
        <v>hypothetical protein</v>
      </c>
      <c r="U286" t="str">
        <f>HYPERLINK("http://www.ncbi.nlm.nih.gov/sutils/blink.cgi?pid=149898849","4E-024")</f>
        <v>4E-024</v>
      </c>
      <c r="V286" t="str">
        <f>HYPERLINK("http://www.ncbi.nlm.nih.gov/protein/149898849","gi|149898849")</f>
        <v>gi|149898849</v>
      </c>
      <c r="W286">
        <v>112</v>
      </c>
      <c r="X286">
        <v>81</v>
      </c>
      <c r="Y286">
        <v>100</v>
      </c>
      <c r="Z286">
        <v>68</v>
      </c>
      <c r="AA286">
        <v>82</v>
      </c>
      <c r="AB286">
        <v>26</v>
      </c>
      <c r="AC286">
        <v>0</v>
      </c>
      <c r="AD286">
        <v>1</v>
      </c>
      <c r="AE286">
        <v>1</v>
      </c>
      <c r="AF286">
        <v>1</v>
      </c>
      <c r="AG286"/>
      <c r="AH286" t="s">
        <v>13</v>
      </c>
      <c r="AI286" t="s">
        <v>51</v>
      </c>
      <c r="AJ286" t="s">
        <v>273</v>
      </c>
      <c r="AK286" t="s">
        <v>8</v>
      </c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 t="str">
        <f>HYPERLINK(".\links\PREV-RHOD-PEP\TI-468-PREV-RHOD-PEP.txt","Contig16785_1")</f>
        <v>Contig16785_1</v>
      </c>
      <c r="AZ286" s="3">
        <v>1.0000000000000001E-5</v>
      </c>
      <c r="BA286" t="s">
        <v>1147</v>
      </c>
      <c r="BB286">
        <v>44.7</v>
      </c>
      <c r="BC286">
        <v>18</v>
      </c>
      <c r="BD286">
        <v>41</v>
      </c>
      <c r="BE286">
        <v>100</v>
      </c>
      <c r="BF286">
        <v>46</v>
      </c>
      <c r="BG286">
        <v>0</v>
      </c>
      <c r="BH286">
        <v>0</v>
      </c>
      <c r="BI286">
        <v>1</v>
      </c>
      <c r="BJ286">
        <v>1</v>
      </c>
      <c r="BK286">
        <v>1</v>
      </c>
      <c r="BL286" t="s">
        <v>8</v>
      </c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 t="s">
        <v>8</v>
      </c>
      <c r="CD286"/>
      <c r="CE286"/>
      <c r="CF286" t="s">
        <v>8</v>
      </c>
      <c r="CG286"/>
      <c r="CH286"/>
      <c r="CI286" t="s">
        <v>8</v>
      </c>
      <c r="CJ286"/>
      <c r="CK286" t="s">
        <v>8</v>
      </c>
      <c r="CL286"/>
      <c r="CM286" t="s">
        <v>8</v>
      </c>
      <c r="CN286"/>
      <c r="CO286" t="s">
        <v>8</v>
      </c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 t="s">
        <v>8</v>
      </c>
      <c r="DD286"/>
      <c r="DE286"/>
      <c r="DF286"/>
      <c r="DG286"/>
      <c r="DH286"/>
      <c r="DI286"/>
      <c r="DJ286"/>
      <c r="DK286"/>
      <c r="DL286"/>
      <c r="DM286"/>
      <c r="DN286"/>
      <c r="DO286"/>
      <c r="DP286"/>
    </row>
    <row r="287" spans="1:120" s="4" customFormat="1">
      <c r="A287" s="6" t="str">
        <f>HYPERLINK(".\links\pep\TI-469-pep.txt","TI-469")</f>
        <v>TI-469</v>
      </c>
      <c r="B287" s="6">
        <v>469</v>
      </c>
      <c r="C287" s="6" t="s">
        <v>7</v>
      </c>
      <c r="D287" s="6">
        <v>195</v>
      </c>
      <c r="E287" s="6">
        <v>0</v>
      </c>
      <c r="F287" s="6" t="str">
        <f>HYPERLINK(".\links\cds\TI-469-cds.txt","TI-469")</f>
        <v>TI-469</v>
      </c>
      <c r="G287" s="6">
        <v>584</v>
      </c>
      <c r="H287" s="6"/>
      <c r="I287" s="6" t="s">
        <v>29</v>
      </c>
      <c r="J287" s="6" t="s">
        <v>6</v>
      </c>
      <c r="K287" s="6">
        <v>1</v>
      </c>
      <c r="L287" s="6">
        <v>3</v>
      </c>
      <c r="M287" s="6">
        <f t="shared" si="14"/>
        <v>-2</v>
      </c>
      <c r="N287" s="6">
        <f t="shared" si="15"/>
        <v>2</v>
      </c>
      <c r="O287" s="6" t="s">
        <v>1170</v>
      </c>
      <c r="P287" s="6" t="s">
        <v>1171</v>
      </c>
      <c r="Q287" s="6"/>
      <c r="R287" s="6"/>
      <c r="S287" s="6"/>
      <c r="T287" s="6" t="str">
        <f>HYPERLINK(".\links\NR-LIGHT\TI-469-NR-LIGHT.txt","AGAP009281-PA")</f>
        <v>AGAP009281-PA</v>
      </c>
      <c r="U287" s="6" t="str">
        <f>HYPERLINK("http://www.ncbi.nlm.nih.gov/sutils/blink.cgi?pid=158300081","1E-010")</f>
        <v>1E-010</v>
      </c>
      <c r="V287" s="6" t="str">
        <f>HYPERLINK("http://www.ncbi.nlm.nih.gov/protein/158300081","gi|158300081")</f>
        <v>gi|158300081</v>
      </c>
      <c r="W287" s="6">
        <v>68.2</v>
      </c>
      <c r="X287" s="6">
        <v>139</v>
      </c>
      <c r="Y287" s="6">
        <v>193</v>
      </c>
      <c r="Z287" s="6">
        <v>29</v>
      </c>
      <c r="AA287" s="6">
        <v>73</v>
      </c>
      <c r="AB287" s="6">
        <v>108</v>
      </c>
      <c r="AC287" s="6">
        <v>14</v>
      </c>
      <c r="AD287" s="6">
        <v>33</v>
      </c>
      <c r="AE287" s="6">
        <v>39</v>
      </c>
      <c r="AF287" s="6">
        <v>1</v>
      </c>
      <c r="AG287" s="6"/>
      <c r="AH287" s="6" t="s">
        <v>13</v>
      </c>
      <c r="AI287" s="6" t="s">
        <v>51</v>
      </c>
      <c r="AJ287" s="6" t="s">
        <v>275</v>
      </c>
      <c r="AK287" s="6" t="str">
        <f>HYPERLINK(".\links\SWISSP\TI-469-SWISSP.txt","Apolipoprotein D OS=Macaca fascicularis GN=APOD PE=2 SV=1")</f>
        <v>Apolipoprotein D OS=Macaca fascicularis GN=APOD PE=2 SV=1</v>
      </c>
      <c r="AL287" s="6" t="str">
        <f>HYPERLINK("http://www.uniprot.org/uniprot/Q8SPI0","8E-010")</f>
        <v>8E-010</v>
      </c>
      <c r="AM287" s="6" t="s">
        <v>219</v>
      </c>
      <c r="AN287" s="6">
        <v>63.5</v>
      </c>
      <c r="AO287" s="6">
        <v>139</v>
      </c>
      <c r="AP287" s="6">
        <v>189</v>
      </c>
      <c r="AQ287" s="6">
        <v>28</v>
      </c>
      <c r="AR287" s="6">
        <v>74</v>
      </c>
      <c r="AS287" s="6">
        <v>113</v>
      </c>
      <c r="AT287" s="6">
        <v>28</v>
      </c>
      <c r="AU287" s="6">
        <v>15</v>
      </c>
      <c r="AV287" s="6">
        <v>28</v>
      </c>
      <c r="AW287" s="6">
        <v>1</v>
      </c>
      <c r="AX287" s="6" t="s">
        <v>220</v>
      </c>
      <c r="AY287" s="6" t="str">
        <f>HYPERLINK(".\links\PREV-RHOD-PEP\TI-469-PREV-RHOD-PEP.txt","Contig17106_8")</f>
        <v>Contig17106_8</v>
      </c>
      <c r="AZ287" s="8">
        <v>3.0000000000000001E-62</v>
      </c>
      <c r="BA287" s="6" t="s">
        <v>1148</v>
      </c>
      <c r="BB287" s="6">
        <v>233</v>
      </c>
      <c r="BC287" s="6">
        <v>195</v>
      </c>
      <c r="BD287" s="6">
        <v>212</v>
      </c>
      <c r="BE287" s="6">
        <v>58</v>
      </c>
      <c r="BF287" s="6">
        <v>92</v>
      </c>
      <c r="BG287" s="6">
        <v>81</v>
      </c>
      <c r="BH287" s="6">
        <v>1</v>
      </c>
      <c r="BI287" s="6">
        <v>1</v>
      </c>
      <c r="BJ287" s="6">
        <v>1</v>
      </c>
      <c r="BK287" s="6">
        <v>1</v>
      </c>
      <c r="BL287" s="6" t="s">
        <v>928</v>
      </c>
      <c r="BM287" s="6">
        <f>HYPERLINK(".\links\GO\TI-469-GO.txt",0.00000006)</f>
        <v>5.9999999999999995E-8</v>
      </c>
      <c r="BN287" s="6" t="s">
        <v>373</v>
      </c>
      <c r="BO287" s="6" t="s">
        <v>373</v>
      </c>
      <c r="BP287" s="6"/>
      <c r="BQ287" s="6" t="s">
        <v>374</v>
      </c>
      <c r="BR287" s="6">
        <v>6.0000000000000002E-6</v>
      </c>
      <c r="BS287" s="6" t="s">
        <v>929</v>
      </c>
      <c r="BT287" s="6" t="s">
        <v>323</v>
      </c>
      <c r="BU287" s="6" t="s">
        <v>930</v>
      </c>
      <c r="BV287" s="6" t="s">
        <v>931</v>
      </c>
      <c r="BW287" s="6">
        <v>6.0000000000000002E-6</v>
      </c>
      <c r="BX287" s="6" t="s">
        <v>932</v>
      </c>
      <c r="BY287" s="6" t="s">
        <v>373</v>
      </c>
      <c r="BZ287" s="6"/>
      <c r="CA287" s="6" t="s">
        <v>933</v>
      </c>
      <c r="CB287" s="6">
        <v>6.0000000000000002E-6</v>
      </c>
      <c r="CC287" s="6" t="s">
        <v>8</v>
      </c>
      <c r="CD287" s="6"/>
      <c r="CE287" s="6"/>
      <c r="CF287" s="6" t="s">
        <v>8</v>
      </c>
      <c r="CG287" s="6"/>
      <c r="CH287" s="6"/>
      <c r="CI287" s="6" t="s">
        <v>8</v>
      </c>
      <c r="CJ287" s="6"/>
      <c r="CK287" s="6" t="s">
        <v>8</v>
      </c>
      <c r="CL287" s="6"/>
      <c r="CM287" s="6" t="s">
        <v>8</v>
      </c>
      <c r="CN287" s="6"/>
      <c r="CO287" s="6" t="s">
        <v>8</v>
      </c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 t="s">
        <v>8</v>
      </c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</row>
    <row r="288" spans="1:120" s="4" customFormat="1">
      <c r="A288" t="str">
        <f>HYPERLINK(".\links\pep\TI-473-pep.txt","TI-473")</f>
        <v>TI-473</v>
      </c>
      <c r="B288">
        <v>473</v>
      </c>
      <c r="C288" t="s">
        <v>9</v>
      </c>
      <c r="D288">
        <v>111</v>
      </c>
      <c r="E288">
        <v>0</v>
      </c>
      <c r="F288" t="str">
        <f>HYPERLINK(".\links\cds\TI-473-cds.txt","TI-473")</f>
        <v>TI-473</v>
      </c>
      <c r="G288">
        <v>336</v>
      </c>
      <c r="H288"/>
      <c r="I288" t="s">
        <v>8</v>
      </c>
      <c r="J288" t="s">
        <v>6</v>
      </c>
      <c r="K288">
        <v>0</v>
      </c>
      <c r="L288">
        <v>1</v>
      </c>
      <c r="M288">
        <f t="shared" si="14"/>
        <v>-1</v>
      </c>
      <c r="N288">
        <f t="shared" si="15"/>
        <v>1</v>
      </c>
      <c r="O288" t="s">
        <v>1340</v>
      </c>
      <c r="P288" t="s">
        <v>1181</v>
      </c>
      <c r="Q288" t="str">
        <f>HYPERLINK(".\links\GO\TI-473-GO.txt","GO")</f>
        <v>GO</v>
      </c>
      <c r="R288" s="3">
        <v>2.0000000000000002E-31</v>
      </c>
      <c r="S288">
        <v>74.3</v>
      </c>
      <c r="T288" t="str">
        <f>HYPERLINK(".\links\NR-LIGHT\TI-473-NR-LIGHT.txt","conserved hypothetical protein")</f>
        <v>conserved hypothetical protein</v>
      </c>
      <c r="U288" t="str">
        <f>HYPERLINK("http://www.ncbi.nlm.nih.gov/sutils/blink.cgi?pid=242008321","4E-057")</f>
        <v>4E-057</v>
      </c>
      <c r="V288" t="str">
        <f>HYPERLINK("http://www.ncbi.nlm.nih.gov/protein/242008321","gi|242008321")</f>
        <v>gi|242008321</v>
      </c>
      <c r="W288">
        <v>221</v>
      </c>
      <c r="X288">
        <v>110</v>
      </c>
      <c r="Y288">
        <v>152</v>
      </c>
      <c r="Z288">
        <v>95</v>
      </c>
      <c r="AA288">
        <v>73</v>
      </c>
      <c r="AB288">
        <v>5</v>
      </c>
      <c r="AC288">
        <v>0</v>
      </c>
      <c r="AD288">
        <v>42</v>
      </c>
      <c r="AE288">
        <v>1</v>
      </c>
      <c r="AF288">
        <v>1</v>
      </c>
      <c r="AG288"/>
      <c r="AH288" t="s">
        <v>13</v>
      </c>
      <c r="AI288" t="s">
        <v>51</v>
      </c>
      <c r="AJ288" t="s">
        <v>268</v>
      </c>
      <c r="AK288" t="str">
        <f>HYPERLINK(".\links\SWISSP\TI-473-SWISSP.txt","Cofilin/actin-depolymerizing factor homolog OS=Drosophila melanogaster GN=tsr")</f>
        <v>Cofilin/actin-depolymerizing factor homolog OS=Drosophila melanogaster GN=tsr</v>
      </c>
      <c r="AL288" t="str">
        <f>HYPERLINK("http://www.uniprot.org/uniprot/P45594","2E-053")</f>
        <v>2E-053</v>
      </c>
      <c r="AM288" t="s">
        <v>240</v>
      </c>
      <c r="AN288">
        <v>207</v>
      </c>
      <c r="AO288">
        <v>110</v>
      </c>
      <c r="AP288">
        <v>148</v>
      </c>
      <c r="AQ288">
        <v>90</v>
      </c>
      <c r="AR288">
        <v>75</v>
      </c>
      <c r="AS288">
        <v>10</v>
      </c>
      <c r="AT288">
        <v>0</v>
      </c>
      <c r="AU288">
        <v>38</v>
      </c>
      <c r="AV288">
        <v>1</v>
      </c>
      <c r="AW288">
        <v>1</v>
      </c>
      <c r="AX288" t="s">
        <v>52</v>
      </c>
      <c r="AY288" t="str">
        <f>HYPERLINK(".\links\PREV-RHOD-PEP\TI-473-PREV-RHOD-PEP.txt","Contig17725_24")</f>
        <v>Contig17725_24</v>
      </c>
      <c r="AZ288" s="3">
        <v>2.0000000000000001E-62</v>
      </c>
      <c r="BA288" t="s">
        <v>1149</v>
      </c>
      <c r="BB288">
        <v>233</v>
      </c>
      <c r="BC288">
        <v>110</v>
      </c>
      <c r="BD288">
        <v>843</v>
      </c>
      <c r="BE288">
        <v>99</v>
      </c>
      <c r="BF288">
        <v>13</v>
      </c>
      <c r="BG288">
        <v>1</v>
      </c>
      <c r="BH288">
        <v>0</v>
      </c>
      <c r="BI288">
        <v>733</v>
      </c>
      <c r="BJ288">
        <v>1</v>
      </c>
      <c r="BK288">
        <v>1</v>
      </c>
      <c r="BL288" t="s">
        <v>934</v>
      </c>
      <c r="BM288">
        <f>HYPERLINK(".\links\GO\TI-473-GO.txt",4E-54)</f>
        <v>4.0000000000000001E-54</v>
      </c>
      <c r="BN288" t="s">
        <v>339</v>
      </c>
      <c r="BO288" t="s">
        <v>340</v>
      </c>
      <c r="BP288" t="s">
        <v>341</v>
      </c>
      <c r="BQ288" t="s">
        <v>342</v>
      </c>
      <c r="BR288">
        <v>2E-14</v>
      </c>
      <c r="BS288" t="s">
        <v>935</v>
      </c>
      <c r="BT288" t="s">
        <v>782</v>
      </c>
      <c r="BU288" t="s">
        <v>783</v>
      </c>
      <c r="BV288" t="s">
        <v>936</v>
      </c>
      <c r="BW288">
        <v>2E-14</v>
      </c>
      <c r="BX288" t="s">
        <v>937</v>
      </c>
      <c r="BY288" t="s">
        <v>340</v>
      </c>
      <c r="BZ288" t="s">
        <v>341</v>
      </c>
      <c r="CA288" t="s">
        <v>938</v>
      </c>
      <c r="CB288">
        <v>2E-14</v>
      </c>
      <c r="CC288" t="s">
        <v>8</v>
      </c>
      <c r="CD288"/>
      <c r="CE288"/>
      <c r="CF288" t="s">
        <v>8</v>
      </c>
      <c r="CG288"/>
      <c r="CH288"/>
      <c r="CI288" t="s">
        <v>8</v>
      </c>
      <c r="CJ288"/>
      <c r="CK288" t="s">
        <v>8</v>
      </c>
      <c r="CL288"/>
      <c r="CM288" t="s">
        <v>8</v>
      </c>
      <c r="CN288"/>
      <c r="CO288" t="s">
        <v>8</v>
      </c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 t="s">
        <v>8</v>
      </c>
      <c r="DD288"/>
      <c r="DE288"/>
      <c r="DF288"/>
      <c r="DG288"/>
      <c r="DH288"/>
      <c r="DI288"/>
      <c r="DJ288"/>
      <c r="DK288"/>
      <c r="DL288"/>
      <c r="DM288"/>
      <c r="DN288"/>
      <c r="DO288"/>
      <c r="DP288"/>
    </row>
    <row r="289" spans="1:120" s="4" customFormat="1">
      <c r="A289" t="str">
        <f>HYPERLINK(".\links\pep\TI-474-pep.txt","TI-474")</f>
        <v>TI-474</v>
      </c>
      <c r="B289">
        <v>474</v>
      </c>
      <c r="C289" t="s">
        <v>10</v>
      </c>
      <c r="D289">
        <v>206</v>
      </c>
      <c r="E289">
        <v>0</v>
      </c>
      <c r="F289" t="str">
        <f>HYPERLINK(".\links\cds\TI-474-cds.txt","TI-474")</f>
        <v>TI-474</v>
      </c>
      <c r="G289">
        <v>621</v>
      </c>
      <c r="H289"/>
      <c r="I289" t="s">
        <v>8</v>
      </c>
      <c r="J289" t="s">
        <v>6</v>
      </c>
      <c r="K289">
        <v>4</v>
      </c>
      <c r="L289">
        <v>0</v>
      </c>
      <c r="M289">
        <f t="shared" si="14"/>
        <v>4</v>
      </c>
      <c r="N289">
        <f t="shared" si="15"/>
        <v>4</v>
      </c>
      <c r="O289" t="s">
        <v>1341</v>
      </c>
      <c r="P289" t="s">
        <v>1181</v>
      </c>
      <c r="Q289" t="str">
        <f>HYPERLINK(".\links\GO\TI-474-GO.txt","GO")</f>
        <v>GO</v>
      </c>
      <c r="R289" s="3">
        <v>2.0000000000000002E-30</v>
      </c>
      <c r="S289">
        <v>96</v>
      </c>
      <c r="T289" t="str">
        <f>HYPERLINK(".\links\NR-LIGHT\TI-474-NR-LIGHT.txt","protein lethal, putative")</f>
        <v>protein lethal, putative</v>
      </c>
      <c r="U289" t="str">
        <f>HYPERLINK("http://www.ncbi.nlm.nih.gov/sutils/blink.cgi?pid=242005722","2E-051")</f>
        <v>2E-051</v>
      </c>
      <c r="V289" t="str">
        <f>HYPERLINK("http://www.ncbi.nlm.nih.gov/protein/242005722","gi|242005722")</f>
        <v>gi|242005722</v>
      </c>
      <c r="W289">
        <v>204</v>
      </c>
      <c r="X289">
        <v>174</v>
      </c>
      <c r="Y289">
        <v>211</v>
      </c>
      <c r="Z289">
        <v>56</v>
      </c>
      <c r="AA289">
        <v>83</v>
      </c>
      <c r="AB289">
        <v>78</v>
      </c>
      <c r="AC289">
        <v>4</v>
      </c>
      <c r="AD289">
        <v>23</v>
      </c>
      <c r="AE289">
        <v>21</v>
      </c>
      <c r="AF289">
        <v>1</v>
      </c>
      <c r="AG289"/>
      <c r="AH289" t="s">
        <v>13</v>
      </c>
      <c r="AI289" t="s">
        <v>51</v>
      </c>
      <c r="AJ289" t="s">
        <v>268</v>
      </c>
      <c r="AK289" t="str">
        <f>HYPERLINK(".\links\SWISSP\TI-474-SWISSP.txt","Protein lethal(2)essential for life OS=Drosophila melanogaster GN=l(2)efl PE=1")</f>
        <v>Protein lethal(2)essential for life OS=Drosophila melanogaster GN=l(2)efl PE=1</v>
      </c>
      <c r="AL289" t="str">
        <f>HYPERLINK("http://www.uniprot.org/uniprot/P82147","9E-038")</f>
        <v>9E-038</v>
      </c>
      <c r="AM289" t="s">
        <v>241</v>
      </c>
      <c r="AN289">
        <v>156</v>
      </c>
      <c r="AO289">
        <v>184</v>
      </c>
      <c r="AP289">
        <v>187</v>
      </c>
      <c r="AQ289">
        <v>43</v>
      </c>
      <c r="AR289">
        <v>99</v>
      </c>
      <c r="AS289">
        <v>105</v>
      </c>
      <c r="AT289">
        <v>6</v>
      </c>
      <c r="AU289">
        <v>1</v>
      </c>
      <c r="AV289">
        <v>21</v>
      </c>
      <c r="AW289">
        <v>1</v>
      </c>
      <c r="AX289" t="s">
        <v>52</v>
      </c>
      <c r="AY289" t="str">
        <f>HYPERLINK(".\links\PREV-RHOD-PEP\TI-474-PREV-RHOD-PEP.txt","Contig3102_2")</f>
        <v>Contig3102_2</v>
      </c>
      <c r="AZ289" s="3">
        <v>1E-99</v>
      </c>
      <c r="BA289" t="s">
        <v>1150</v>
      </c>
      <c r="BB289">
        <v>358</v>
      </c>
      <c r="BC289">
        <v>184</v>
      </c>
      <c r="BD289">
        <v>185</v>
      </c>
      <c r="BE289">
        <v>91</v>
      </c>
      <c r="BF289">
        <v>100</v>
      </c>
      <c r="BG289">
        <v>16</v>
      </c>
      <c r="BH289">
        <v>0</v>
      </c>
      <c r="BI289">
        <v>1</v>
      </c>
      <c r="BJ289">
        <v>21</v>
      </c>
      <c r="BK289">
        <v>1</v>
      </c>
      <c r="BL289" t="s">
        <v>939</v>
      </c>
      <c r="BM289">
        <f>HYPERLINK(".\links\GO\TI-474-GO.txt",3E-38)</f>
        <v>2.9999999999999999E-38</v>
      </c>
      <c r="BN289" t="s">
        <v>940</v>
      </c>
      <c r="BO289" t="s">
        <v>330</v>
      </c>
      <c r="BP289" t="s">
        <v>941</v>
      </c>
      <c r="BQ289" t="s">
        <v>942</v>
      </c>
      <c r="BR289" s="3">
        <v>2.0000000000000002E-30</v>
      </c>
      <c r="BS289" t="s">
        <v>943</v>
      </c>
      <c r="BT289" t="s">
        <v>323</v>
      </c>
      <c r="BU289" t="s">
        <v>390</v>
      </c>
      <c r="BV289" t="s">
        <v>944</v>
      </c>
      <c r="BW289" s="3">
        <v>2.0000000000000002E-30</v>
      </c>
      <c r="BX289" t="s">
        <v>945</v>
      </c>
      <c r="BY289" t="s">
        <v>330</v>
      </c>
      <c r="BZ289" t="s">
        <v>941</v>
      </c>
      <c r="CA289" t="s">
        <v>946</v>
      </c>
      <c r="CB289" s="3">
        <v>2.0000000000000002E-30</v>
      </c>
      <c r="CC289" t="s">
        <v>8</v>
      </c>
      <c r="CD289"/>
      <c r="CE289"/>
      <c r="CF289" t="s">
        <v>8</v>
      </c>
      <c r="CG289"/>
      <c r="CH289"/>
      <c r="CI289" t="s">
        <v>8</v>
      </c>
      <c r="CJ289"/>
      <c r="CK289" t="s">
        <v>8</v>
      </c>
      <c r="CL289"/>
      <c r="CM289" t="s">
        <v>8</v>
      </c>
      <c r="CN289"/>
      <c r="CO289" t="s">
        <v>8</v>
      </c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 t="s">
        <v>8</v>
      </c>
      <c r="DD289"/>
      <c r="DE289"/>
      <c r="DF289"/>
      <c r="DG289"/>
      <c r="DH289"/>
      <c r="DI289"/>
      <c r="DJ289"/>
      <c r="DK289"/>
      <c r="DL289"/>
      <c r="DM289"/>
      <c r="DN289"/>
      <c r="DO289"/>
      <c r="DP289"/>
    </row>
    <row r="290" spans="1:120" s="4" customFormat="1">
      <c r="A290" s="6" t="str">
        <f>HYPERLINK(".\links\pep\TI-478-pep.txt","TI-478")</f>
        <v>TI-478</v>
      </c>
      <c r="B290" s="6">
        <v>478</v>
      </c>
      <c r="C290" s="6" t="s">
        <v>11</v>
      </c>
      <c r="D290" s="6">
        <v>10</v>
      </c>
      <c r="E290" s="6">
        <v>0</v>
      </c>
      <c r="F290" s="6" t="str">
        <f>HYPERLINK(".\links\cds\TI-478-cds.txt","TI-478")</f>
        <v>TI-478</v>
      </c>
      <c r="G290" s="6">
        <v>33</v>
      </c>
      <c r="H290" s="6"/>
      <c r="I290" s="6" t="s">
        <v>8</v>
      </c>
      <c r="J290" s="6" t="s">
        <v>6</v>
      </c>
      <c r="K290" s="6">
        <v>0</v>
      </c>
      <c r="L290" s="6">
        <v>1</v>
      </c>
      <c r="M290" s="6">
        <f t="shared" si="14"/>
        <v>-1</v>
      </c>
      <c r="N290" s="6">
        <f t="shared" si="15"/>
        <v>1</v>
      </c>
      <c r="O290" s="6" t="s">
        <v>1170</v>
      </c>
      <c r="P290" s="6" t="s">
        <v>1171</v>
      </c>
      <c r="Q290" s="6"/>
      <c r="R290" s="6"/>
      <c r="S290" s="6"/>
      <c r="T290" s="6" t="s">
        <v>8</v>
      </c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 t="s">
        <v>8</v>
      </c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 t="s">
        <v>8</v>
      </c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 t="s">
        <v>8</v>
      </c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 t="s">
        <v>8</v>
      </c>
      <c r="CD290" s="6"/>
      <c r="CE290" s="6"/>
      <c r="CF290" s="6" t="s">
        <v>8</v>
      </c>
      <c r="CG290" s="6"/>
      <c r="CH290" s="6"/>
      <c r="CI290" s="6" t="s">
        <v>8</v>
      </c>
      <c r="CJ290" s="6"/>
      <c r="CK290" s="6" t="s">
        <v>8</v>
      </c>
      <c r="CL290" s="6"/>
      <c r="CM290" s="6" t="s">
        <v>8</v>
      </c>
      <c r="CN290" s="6"/>
      <c r="CO290" s="6" t="s">
        <v>8</v>
      </c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 t="s">
        <v>8</v>
      </c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</row>
    <row r="291" spans="1:120" s="4" customFormat="1">
      <c r="A291" t="str">
        <f>HYPERLINK(".\links\pep\TI-482-pep.txt","TI-482")</f>
        <v>TI-482</v>
      </c>
      <c r="B291">
        <v>482</v>
      </c>
      <c r="C291" t="s">
        <v>20</v>
      </c>
      <c r="D291">
        <v>138</v>
      </c>
      <c r="E291">
        <v>0</v>
      </c>
      <c r="F291" t="str">
        <f>HYPERLINK(".\links\cds\TI-482-cds.txt","TI-482")</f>
        <v>TI-482</v>
      </c>
      <c r="G291">
        <v>417</v>
      </c>
      <c r="H291"/>
      <c r="I291" t="s">
        <v>8</v>
      </c>
      <c r="J291" t="s">
        <v>6</v>
      </c>
      <c r="K291">
        <v>1</v>
      </c>
      <c r="L291">
        <v>0</v>
      </c>
      <c r="M291">
        <f t="shared" ref="M291:M332" si="16">K291-L291</f>
        <v>1</v>
      </c>
      <c r="N291">
        <f t="shared" ref="N291:N332" si="17">ABS(K291-L291)</f>
        <v>1</v>
      </c>
      <c r="O291" t="s">
        <v>1174</v>
      </c>
      <c r="P291" t="s">
        <v>1175</v>
      </c>
      <c r="Q291" t="str">
        <f>HYPERLINK(".\links\NR-LIGHT\TI-482-NR-LIGHT.txt","NR-LIGHT")</f>
        <v>NR-LIGHT</v>
      </c>
      <c r="R291" s="3">
        <v>7.0000000000000004E-42</v>
      </c>
      <c r="S291">
        <v>35.299999999999997</v>
      </c>
      <c r="T291" t="str">
        <f>HYPERLINK(".\links\NR-LIGHT\TI-482-NR-LIGHT.txt","cathepsin D")</f>
        <v>cathepsin D</v>
      </c>
      <c r="U291" t="str">
        <f>HYPERLINK("http://www.ncbi.nlm.nih.gov/sutils/blink.cgi?pid=301030231","7E-042")</f>
        <v>7E-042</v>
      </c>
      <c r="V291" t="str">
        <f>HYPERLINK("http://www.ncbi.nlm.nih.gov/protein/301030231","gi|301030231")</f>
        <v>gi|301030231</v>
      </c>
      <c r="W291">
        <v>171</v>
      </c>
      <c r="X291">
        <v>136</v>
      </c>
      <c r="Y291">
        <v>390</v>
      </c>
      <c r="Z291">
        <v>57</v>
      </c>
      <c r="AA291">
        <v>35</v>
      </c>
      <c r="AB291">
        <v>59</v>
      </c>
      <c r="AC291">
        <v>1</v>
      </c>
      <c r="AD291">
        <v>253</v>
      </c>
      <c r="AE291">
        <v>1</v>
      </c>
      <c r="AF291">
        <v>1</v>
      </c>
      <c r="AG291"/>
      <c r="AH291" t="s">
        <v>13</v>
      </c>
      <c r="AI291" t="s">
        <v>51</v>
      </c>
      <c r="AJ291" t="s">
        <v>273</v>
      </c>
      <c r="AK291" t="str">
        <f>HYPERLINK(".\links\SWISSP\TI-482-SWISSP.txt","Cathepsin D OS=Homo sapiens GN=CTSD PE=1 SV=1")</f>
        <v>Cathepsin D OS=Homo sapiens GN=CTSD PE=1 SV=1</v>
      </c>
      <c r="AL291" t="str">
        <f>HYPERLINK("http://www.uniprot.org/uniprot/P07339","1E-023")</f>
        <v>1E-023</v>
      </c>
      <c r="AM291" t="s">
        <v>242</v>
      </c>
      <c r="AN291">
        <v>107</v>
      </c>
      <c r="AO291">
        <v>131</v>
      </c>
      <c r="AP291">
        <v>412</v>
      </c>
      <c r="AQ291">
        <v>39</v>
      </c>
      <c r="AR291">
        <v>32</v>
      </c>
      <c r="AS291">
        <v>80</v>
      </c>
      <c r="AT291">
        <v>2</v>
      </c>
      <c r="AU291">
        <v>276</v>
      </c>
      <c r="AV291">
        <v>6</v>
      </c>
      <c r="AW291">
        <v>1</v>
      </c>
      <c r="AX291" t="s">
        <v>68</v>
      </c>
      <c r="AY291" t="str">
        <f>HYPERLINK(".\links\PREV-RHOD-PEP\TI-482-PREV-RHOD-PEP.txt","Contig17955_3")</f>
        <v>Contig17955_3</v>
      </c>
      <c r="AZ291" s="3">
        <v>3.0000000000000003E-39</v>
      </c>
      <c r="BA291" t="s">
        <v>1010</v>
      </c>
      <c r="BB291">
        <v>156</v>
      </c>
      <c r="BC291">
        <v>135</v>
      </c>
      <c r="BD291">
        <v>371</v>
      </c>
      <c r="BE291">
        <v>51</v>
      </c>
      <c r="BF291">
        <v>37</v>
      </c>
      <c r="BG291">
        <v>66</v>
      </c>
      <c r="BH291">
        <v>1</v>
      </c>
      <c r="BI291">
        <v>235</v>
      </c>
      <c r="BJ291">
        <v>1</v>
      </c>
      <c r="BK291">
        <v>1</v>
      </c>
      <c r="BL291" t="s">
        <v>386</v>
      </c>
      <c r="BM291">
        <f>HYPERLINK(".\links\GO\TI-482-GO.txt",3E-22)</f>
        <v>2.9999999999999999E-22</v>
      </c>
      <c r="BN291" t="s">
        <v>387</v>
      </c>
      <c r="BO291" t="s">
        <v>345</v>
      </c>
      <c r="BP291" t="s">
        <v>349</v>
      </c>
      <c r="BQ291" t="s">
        <v>388</v>
      </c>
      <c r="BR291" s="3">
        <v>2.9999999999999999E-22</v>
      </c>
      <c r="BS291" t="s">
        <v>389</v>
      </c>
      <c r="BT291" t="s">
        <v>323</v>
      </c>
      <c r="BU291" t="s">
        <v>390</v>
      </c>
      <c r="BV291" t="s">
        <v>391</v>
      </c>
      <c r="BW291" s="3">
        <v>2.9999999999999999E-22</v>
      </c>
      <c r="BX291" t="s">
        <v>392</v>
      </c>
      <c r="BY291" t="s">
        <v>345</v>
      </c>
      <c r="BZ291" t="s">
        <v>349</v>
      </c>
      <c r="CA291" t="s">
        <v>393</v>
      </c>
      <c r="CB291" s="3">
        <v>2.9999999999999999E-22</v>
      </c>
      <c r="CC291" t="s">
        <v>8</v>
      </c>
      <c r="CD291"/>
      <c r="CE291"/>
      <c r="CF291" t="s">
        <v>8</v>
      </c>
      <c r="CG291"/>
      <c r="CH291"/>
      <c r="CI291" t="s">
        <v>8</v>
      </c>
      <c r="CJ291"/>
      <c r="CK291" t="s">
        <v>8</v>
      </c>
      <c r="CL291"/>
      <c r="CM291" t="s">
        <v>8</v>
      </c>
      <c r="CN291"/>
      <c r="CO291" t="s">
        <v>8</v>
      </c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 t="s">
        <v>8</v>
      </c>
      <c r="DD291"/>
      <c r="DE291"/>
      <c r="DF291"/>
      <c r="DG291"/>
      <c r="DH291"/>
      <c r="DI291"/>
      <c r="DJ291"/>
      <c r="DK291"/>
      <c r="DL291"/>
      <c r="DM291"/>
      <c r="DN291"/>
      <c r="DO291"/>
      <c r="DP291"/>
    </row>
    <row r="292" spans="1:120" s="4" customFormat="1">
      <c r="A292" s="6" t="str">
        <f>HYPERLINK(".\links\pep\TI-485-pep.txt","TI-485")</f>
        <v>TI-485</v>
      </c>
      <c r="B292" s="6">
        <v>485</v>
      </c>
      <c r="C292" s="6" t="s">
        <v>10</v>
      </c>
      <c r="D292" s="6">
        <v>30</v>
      </c>
      <c r="E292" s="6">
        <v>0</v>
      </c>
      <c r="F292" s="6" t="str">
        <f>HYPERLINK(".\links\cds\TI-485-cds.txt","TI-485")</f>
        <v>TI-485</v>
      </c>
      <c r="G292" s="6">
        <v>90</v>
      </c>
      <c r="H292" s="6"/>
      <c r="I292" s="6" t="s">
        <v>8</v>
      </c>
      <c r="J292" s="6" t="s">
        <v>8</v>
      </c>
      <c r="K292" s="6">
        <v>0</v>
      </c>
      <c r="L292" s="6">
        <v>1</v>
      </c>
      <c r="M292" s="6">
        <f t="shared" si="16"/>
        <v>-1</v>
      </c>
      <c r="N292" s="6">
        <f t="shared" si="17"/>
        <v>1</v>
      </c>
      <c r="O292" s="6" t="s">
        <v>1170</v>
      </c>
      <c r="P292" s="6" t="s">
        <v>1171</v>
      </c>
      <c r="Q292" s="6"/>
      <c r="R292" s="6"/>
      <c r="S292" s="6"/>
      <c r="T292" s="6" t="s">
        <v>8</v>
      </c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 t="s">
        <v>8</v>
      </c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 t="s">
        <v>8</v>
      </c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 t="s">
        <v>8</v>
      </c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 t="s">
        <v>8</v>
      </c>
      <c r="CD292" s="6"/>
      <c r="CE292" s="6"/>
      <c r="CF292" s="6" t="s">
        <v>8</v>
      </c>
      <c r="CG292" s="6"/>
      <c r="CH292" s="6"/>
      <c r="CI292" s="6" t="s">
        <v>8</v>
      </c>
      <c r="CJ292" s="6"/>
      <c r="CK292" s="6" t="s">
        <v>8</v>
      </c>
      <c r="CL292" s="6"/>
      <c r="CM292" s="6" t="s">
        <v>8</v>
      </c>
      <c r="CN292" s="6"/>
      <c r="CO292" s="6" t="s">
        <v>8</v>
      </c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 t="s">
        <v>8</v>
      </c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</row>
    <row r="293" spans="1:120" s="4" customFormat="1">
      <c r="A293" s="6" t="str">
        <f>HYPERLINK(".\links\pep\TI-486-pep.txt","TI-486")</f>
        <v>TI-486</v>
      </c>
      <c r="B293" s="6">
        <v>486</v>
      </c>
      <c r="C293" s="6" t="s">
        <v>12</v>
      </c>
      <c r="D293" s="6">
        <v>16</v>
      </c>
      <c r="E293" s="6">
        <v>0</v>
      </c>
      <c r="F293" s="6" t="str">
        <f>HYPERLINK(".\links\cds\TI-486-cds.txt","TI-486")</f>
        <v>TI-486</v>
      </c>
      <c r="G293" s="6">
        <v>51</v>
      </c>
      <c r="H293" s="6"/>
      <c r="I293" s="6" t="s">
        <v>8</v>
      </c>
      <c r="J293" s="6" t="s">
        <v>6</v>
      </c>
      <c r="K293" s="6">
        <v>0</v>
      </c>
      <c r="L293" s="6">
        <v>1</v>
      </c>
      <c r="M293" s="6">
        <f t="shared" si="16"/>
        <v>-1</v>
      </c>
      <c r="N293" s="6">
        <f t="shared" si="17"/>
        <v>1</v>
      </c>
      <c r="O293" s="6" t="s">
        <v>1170</v>
      </c>
      <c r="P293" s="6" t="s">
        <v>1171</v>
      </c>
      <c r="Q293" s="6"/>
      <c r="R293" s="6"/>
      <c r="S293" s="6"/>
      <c r="T293" s="6" t="s">
        <v>8</v>
      </c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 t="s">
        <v>8</v>
      </c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 t="s">
        <v>8</v>
      </c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 t="s">
        <v>8</v>
      </c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 t="s">
        <v>8</v>
      </c>
      <c r="CD293" s="6"/>
      <c r="CE293" s="6"/>
      <c r="CF293" s="6" t="s">
        <v>8</v>
      </c>
      <c r="CG293" s="6"/>
      <c r="CH293" s="6"/>
      <c r="CI293" s="6" t="s">
        <v>8</v>
      </c>
      <c r="CJ293" s="6"/>
      <c r="CK293" s="6" t="s">
        <v>8</v>
      </c>
      <c r="CL293" s="6"/>
      <c r="CM293" s="6" t="s">
        <v>8</v>
      </c>
      <c r="CN293" s="6"/>
      <c r="CO293" s="6" t="s">
        <v>8</v>
      </c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 t="s">
        <v>8</v>
      </c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</row>
    <row r="294" spans="1:120" s="4" customFormat="1">
      <c r="A294" s="6" t="str">
        <f>HYPERLINK(".\links\pep\TI-488-pep.txt","TI-488")</f>
        <v>TI-488</v>
      </c>
      <c r="B294" s="6">
        <v>488</v>
      </c>
      <c r="C294" s="6" t="s">
        <v>18</v>
      </c>
      <c r="D294" s="6">
        <v>29</v>
      </c>
      <c r="E294" s="6">
        <v>0</v>
      </c>
      <c r="F294" s="6" t="str">
        <f>HYPERLINK(".\links\cds\TI-488-cds.txt","TI-488")</f>
        <v>TI-488</v>
      </c>
      <c r="G294" s="6">
        <v>84</v>
      </c>
      <c r="H294" s="6"/>
      <c r="I294" s="6" t="s">
        <v>8</v>
      </c>
      <c r="J294" s="6" t="s">
        <v>8</v>
      </c>
      <c r="K294" s="6">
        <v>1</v>
      </c>
      <c r="L294" s="6">
        <v>1</v>
      </c>
      <c r="M294" s="6">
        <f t="shared" si="16"/>
        <v>0</v>
      </c>
      <c r="N294" s="6">
        <f t="shared" si="17"/>
        <v>0</v>
      </c>
      <c r="O294" s="6" t="s">
        <v>1170</v>
      </c>
      <c r="P294" s="6" t="s">
        <v>1171</v>
      </c>
      <c r="Q294" s="6"/>
      <c r="R294" s="6"/>
      <c r="S294" s="6"/>
      <c r="T294" s="6" t="s">
        <v>8</v>
      </c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 t="s">
        <v>8</v>
      </c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 t="s">
        <v>8</v>
      </c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 t="s">
        <v>8</v>
      </c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 t="s">
        <v>8</v>
      </c>
      <c r="CD294" s="6"/>
      <c r="CE294" s="6"/>
      <c r="CF294" s="6" t="s">
        <v>8</v>
      </c>
      <c r="CG294" s="6"/>
      <c r="CH294" s="6"/>
      <c r="CI294" s="6" t="s">
        <v>8</v>
      </c>
      <c r="CJ294" s="6"/>
      <c r="CK294" s="6" t="s">
        <v>8</v>
      </c>
      <c r="CL294" s="6"/>
      <c r="CM294" s="6" t="s">
        <v>8</v>
      </c>
      <c r="CN294" s="6"/>
      <c r="CO294" s="6" t="s">
        <v>8</v>
      </c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 t="s">
        <v>8</v>
      </c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</row>
    <row r="295" spans="1:120" s="4" customFormat="1">
      <c r="A295" s="6" t="str">
        <f>HYPERLINK(".\links\pep\TI-489-pep.txt","TI-489")</f>
        <v>TI-489</v>
      </c>
      <c r="B295" s="6">
        <v>489</v>
      </c>
      <c r="C295" s="6" t="s">
        <v>17</v>
      </c>
      <c r="D295" s="6">
        <v>54</v>
      </c>
      <c r="E295" s="7">
        <v>18.518519999999999</v>
      </c>
      <c r="F295" s="6" t="str">
        <f>HYPERLINK(".\links\cds\TI-489-cds.txt","TI-489")</f>
        <v>TI-489</v>
      </c>
      <c r="G295" s="6">
        <v>160</v>
      </c>
      <c r="H295" s="6" t="s">
        <v>24</v>
      </c>
      <c r="I295" s="6" t="s">
        <v>8</v>
      </c>
      <c r="J295" s="6" t="s">
        <v>8</v>
      </c>
      <c r="K295" s="6">
        <v>0</v>
      </c>
      <c r="L295" s="6">
        <v>2</v>
      </c>
      <c r="M295" s="6">
        <f t="shared" si="16"/>
        <v>-2</v>
      </c>
      <c r="N295" s="6">
        <f t="shared" si="17"/>
        <v>2</v>
      </c>
      <c r="O295" s="6" t="s">
        <v>1170</v>
      </c>
      <c r="P295" s="6" t="s">
        <v>1171</v>
      </c>
      <c r="Q295" s="6"/>
      <c r="R295" s="6"/>
      <c r="S295" s="6"/>
      <c r="T295" s="6" t="s">
        <v>8</v>
      </c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 t="s">
        <v>8</v>
      </c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 t="s">
        <v>8</v>
      </c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 t="s">
        <v>8</v>
      </c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 t="s">
        <v>8</v>
      </c>
      <c r="CD295" s="6"/>
      <c r="CE295" s="6"/>
      <c r="CF295" s="6" t="s">
        <v>8</v>
      </c>
      <c r="CG295" s="6"/>
      <c r="CH295" s="6"/>
      <c r="CI295" s="6" t="s">
        <v>8</v>
      </c>
      <c r="CJ295" s="6"/>
      <c r="CK295" s="6" t="s">
        <v>8</v>
      </c>
      <c r="CL295" s="6"/>
      <c r="CM295" s="6" t="s">
        <v>8</v>
      </c>
      <c r="CN295" s="6"/>
      <c r="CO295" s="6" t="s">
        <v>8</v>
      </c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 t="s">
        <v>8</v>
      </c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</row>
    <row r="296" spans="1:120" s="4" customFormat="1">
      <c r="A296" t="str">
        <f>HYPERLINK(".\links\pep\TI-490-pep.txt","TI-490")</f>
        <v>TI-490</v>
      </c>
      <c r="B296">
        <v>490</v>
      </c>
      <c r="C296" t="s">
        <v>7</v>
      </c>
      <c r="D296">
        <v>94</v>
      </c>
      <c r="E296">
        <v>0</v>
      </c>
      <c r="F296" t="str">
        <f>HYPERLINK(".\links\cds\TI-490-cds.txt","TI-490")</f>
        <v>TI-490</v>
      </c>
      <c r="G296">
        <v>285</v>
      </c>
      <c r="H296"/>
      <c r="I296" t="s">
        <v>29</v>
      </c>
      <c r="J296" t="s">
        <v>6</v>
      </c>
      <c r="K296">
        <v>0</v>
      </c>
      <c r="L296">
        <v>5</v>
      </c>
      <c r="M296">
        <f t="shared" si="16"/>
        <v>-5</v>
      </c>
      <c r="N296">
        <f t="shared" si="17"/>
        <v>5</v>
      </c>
      <c r="O296" t="s">
        <v>1334</v>
      </c>
      <c r="P296" t="s">
        <v>1208</v>
      </c>
      <c r="Q296" t="str">
        <f>HYPERLINK(".\links\GO\TI-490-GO.txt","GO")</f>
        <v>GO</v>
      </c>
      <c r="R296">
        <v>5.9999999999999997E-7</v>
      </c>
      <c r="S296">
        <v>100</v>
      </c>
      <c r="T296" t="str">
        <f>HYPERLINK(".\links\NR-LIGHT\TI-490-NR-LIGHT.txt","defensin")</f>
        <v>defensin</v>
      </c>
      <c r="U296" t="str">
        <f>HYPERLINK("http://www.ncbi.nlm.nih.gov/sutils/blink.cgi?pid=89112752","6E-049")</f>
        <v>6E-049</v>
      </c>
      <c r="V296" t="str">
        <f>HYPERLINK("http://www.ncbi.nlm.nih.gov/protein/89112752","gi|89112752")</f>
        <v>gi|89112752</v>
      </c>
      <c r="W296">
        <v>194</v>
      </c>
      <c r="X296">
        <v>93</v>
      </c>
      <c r="Y296">
        <v>94</v>
      </c>
      <c r="Z296">
        <v>98</v>
      </c>
      <c r="AA296">
        <v>100</v>
      </c>
      <c r="AB296">
        <v>1</v>
      </c>
      <c r="AC296">
        <v>0</v>
      </c>
      <c r="AD296">
        <v>1</v>
      </c>
      <c r="AE296">
        <v>1</v>
      </c>
      <c r="AF296">
        <v>1</v>
      </c>
      <c r="AG296"/>
      <c r="AH296" t="s">
        <v>13</v>
      </c>
      <c r="AI296" t="s">
        <v>51</v>
      </c>
      <c r="AJ296" t="s">
        <v>273</v>
      </c>
      <c r="AK296" t="str">
        <f>HYPERLINK(".\links\SWISSP\TI-490-SWISSP.txt","Defensin OS=Pyrrhocoris apterus PE=1 SV=1")</f>
        <v>Defensin OS=Pyrrhocoris apterus PE=1 SV=1</v>
      </c>
      <c r="AL296" t="str">
        <f>HYPERLINK("http://www.uniprot.org/uniprot/P37364","6E-011")</f>
        <v>6E-011</v>
      </c>
      <c r="AM296" t="s">
        <v>226</v>
      </c>
      <c r="AN296">
        <v>66.2</v>
      </c>
      <c r="AO296">
        <v>42</v>
      </c>
      <c r="AP296">
        <v>43</v>
      </c>
      <c r="AQ296">
        <v>62</v>
      </c>
      <c r="AR296">
        <v>100</v>
      </c>
      <c r="AS296">
        <v>16</v>
      </c>
      <c r="AT296">
        <v>0</v>
      </c>
      <c r="AU296">
        <v>1</v>
      </c>
      <c r="AV296">
        <v>52</v>
      </c>
      <c r="AW296">
        <v>1</v>
      </c>
      <c r="AX296" t="s">
        <v>227</v>
      </c>
      <c r="AY296" t="str">
        <f>HYPERLINK(".\links\PREV-RHOD-PEP\TI-490-PREV-RHOD-PEP.txt","Contig17966_73")</f>
        <v>Contig17966_73</v>
      </c>
      <c r="AZ296" s="3">
        <v>3.0000000000000002E-40</v>
      </c>
      <c r="BA296" t="s">
        <v>1138</v>
      </c>
      <c r="BB296">
        <v>159</v>
      </c>
      <c r="BC296">
        <v>93</v>
      </c>
      <c r="BD296">
        <v>415</v>
      </c>
      <c r="BE296">
        <v>76</v>
      </c>
      <c r="BF296">
        <v>23</v>
      </c>
      <c r="BG296">
        <v>22</v>
      </c>
      <c r="BH296">
        <v>2</v>
      </c>
      <c r="BI296">
        <v>322</v>
      </c>
      <c r="BJ296">
        <v>1</v>
      </c>
      <c r="BK296">
        <v>1</v>
      </c>
      <c r="BL296" t="s">
        <v>890</v>
      </c>
      <c r="BM296">
        <f>HYPERLINK(".\links\GO\TI-490-GO.txt",0.0000006)</f>
        <v>5.9999999999999997E-7</v>
      </c>
      <c r="BN296" t="s">
        <v>8</v>
      </c>
      <c r="BO296" t="s">
        <v>8</v>
      </c>
      <c r="BP296" t="s">
        <v>8</v>
      </c>
      <c r="BQ296" t="s">
        <v>8</v>
      </c>
      <c r="BR296" t="s">
        <v>8</v>
      </c>
      <c r="BS296" t="s">
        <v>861</v>
      </c>
      <c r="BT296" t="s">
        <v>501</v>
      </c>
      <c r="BU296" t="s">
        <v>752</v>
      </c>
      <c r="BV296" t="s">
        <v>862</v>
      </c>
      <c r="BW296">
        <v>5.9999999999999997E-7</v>
      </c>
      <c r="BX296" t="s">
        <v>891</v>
      </c>
      <c r="BY296" t="s">
        <v>345</v>
      </c>
      <c r="BZ296" t="s">
        <v>349</v>
      </c>
      <c r="CA296" t="s">
        <v>892</v>
      </c>
      <c r="CB296">
        <v>5.9999999999999997E-7</v>
      </c>
      <c r="CC296" t="s">
        <v>8</v>
      </c>
      <c r="CD296"/>
      <c r="CE296"/>
      <c r="CF296" t="s">
        <v>8</v>
      </c>
      <c r="CG296"/>
      <c r="CH296"/>
      <c r="CI296" t="s">
        <v>8</v>
      </c>
      <c r="CJ296"/>
      <c r="CK296" t="s">
        <v>8</v>
      </c>
      <c r="CL296"/>
      <c r="CM296" t="s">
        <v>8</v>
      </c>
      <c r="CN296"/>
      <c r="CO296" t="s">
        <v>8</v>
      </c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 t="s">
        <v>8</v>
      </c>
      <c r="DD296"/>
      <c r="DE296"/>
      <c r="DF296"/>
      <c r="DG296"/>
      <c r="DH296"/>
      <c r="DI296"/>
      <c r="DJ296"/>
      <c r="DK296"/>
      <c r="DL296"/>
      <c r="DM296"/>
      <c r="DN296"/>
      <c r="DO296"/>
      <c r="DP296"/>
    </row>
    <row r="297" spans="1:120" s="4" customFormat="1">
      <c r="A297" t="str">
        <f>HYPERLINK(".\links\pep\TI-493-pep.txt","TI-493")</f>
        <v>TI-493</v>
      </c>
      <c r="B297">
        <v>493</v>
      </c>
      <c r="C297" t="s">
        <v>16</v>
      </c>
      <c r="D297">
        <v>225</v>
      </c>
      <c r="E297" s="2">
        <v>1.7777780000000001</v>
      </c>
      <c r="F297" t="str">
        <f>HYPERLINK(".\links\cds\TI-493-cds.txt","TI-493")</f>
        <v>TI-493</v>
      </c>
      <c r="G297">
        <v>678</v>
      </c>
      <c r="H297"/>
      <c r="I297" t="s">
        <v>8</v>
      </c>
      <c r="J297" t="s">
        <v>6</v>
      </c>
      <c r="K297">
        <v>0</v>
      </c>
      <c r="L297">
        <v>1</v>
      </c>
      <c r="M297">
        <f t="shared" si="16"/>
        <v>-1</v>
      </c>
      <c r="N297">
        <f t="shared" si="17"/>
        <v>1</v>
      </c>
      <c r="O297" t="s">
        <v>1342</v>
      </c>
      <c r="P297" t="s">
        <v>1178</v>
      </c>
      <c r="Q297" t="str">
        <f>HYPERLINK(".\links\NR-LIGHT\TI-493-NR-LIGHT.txt","NR-LIGHT")</f>
        <v>NR-LIGHT</v>
      </c>
      <c r="R297" s="3">
        <v>4.0000000000000003E-68</v>
      </c>
      <c r="S297">
        <v>51</v>
      </c>
      <c r="T297" t="str">
        <f>HYPERLINK(".\links\NR-LIGHT\TI-493-NR-LIGHT.txt","hypothetical protein AaeL_AAEL007562")</f>
        <v>hypothetical protein AaeL_AAEL007562</v>
      </c>
      <c r="U297" t="str">
        <f>HYPERLINK("http://www.ncbi.nlm.nih.gov/sutils/blink.cgi?pid=157116383","4E-068")</f>
        <v>4E-068</v>
      </c>
      <c r="V297" t="str">
        <f>HYPERLINK("http://www.ncbi.nlm.nih.gov/protein/157116383","gi|157116383")</f>
        <v>gi|157116383</v>
      </c>
      <c r="W297">
        <v>259</v>
      </c>
      <c r="X297">
        <v>214</v>
      </c>
      <c r="Y297">
        <v>421</v>
      </c>
      <c r="Z297">
        <v>57</v>
      </c>
      <c r="AA297">
        <v>51</v>
      </c>
      <c r="AB297">
        <v>91</v>
      </c>
      <c r="AC297">
        <v>5</v>
      </c>
      <c r="AD297">
        <v>77</v>
      </c>
      <c r="AE297">
        <v>14</v>
      </c>
      <c r="AF297">
        <v>1</v>
      </c>
      <c r="AG297"/>
      <c r="AH297" t="s">
        <v>13</v>
      </c>
      <c r="AI297" t="s">
        <v>51</v>
      </c>
      <c r="AJ297" t="s">
        <v>76</v>
      </c>
      <c r="AK297" t="str">
        <f>HYPERLINK(".\links\SWISSP\TI-493-SWISSP.txt","Dual oxidase maturation factor 1 OS=Xenopus tropicalis GN=duoxa1 PE=2 SV=1")</f>
        <v>Dual oxidase maturation factor 1 OS=Xenopus tropicalis GN=duoxa1 PE=2 SV=1</v>
      </c>
      <c r="AL297" t="str">
        <f>HYPERLINK("http://www.uniprot.org/uniprot/Q0P4G7","3E-027")</f>
        <v>3E-027</v>
      </c>
      <c r="AM297" t="s">
        <v>102</v>
      </c>
      <c r="AN297">
        <v>121</v>
      </c>
      <c r="AO297">
        <v>178</v>
      </c>
      <c r="AP297">
        <v>308</v>
      </c>
      <c r="AQ297">
        <v>37</v>
      </c>
      <c r="AR297">
        <v>58</v>
      </c>
      <c r="AS297">
        <v>113</v>
      </c>
      <c r="AT297">
        <v>6</v>
      </c>
      <c r="AU297">
        <v>85</v>
      </c>
      <c r="AV297">
        <v>30</v>
      </c>
      <c r="AW297">
        <v>1</v>
      </c>
      <c r="AX297" t="s">
        <v>100</v>
      </c>
      <c r="AY297" t="str">
        <f>HYPERLINK(".\links\PREV-RHOD-PEP\TI-493-PREV-RHOD-PEP.txt","Contig17144_5")</f>
        <v>Contig17144_5</v>
      </c>
      <c r="AZ297" s="3">
        <v>9.9999999999999999E-96</v>
      </c>
      <c r="BA297" t="s">
        <v>1017</v>
      </c>
      <c r="BB297">
        <v>344</v>
      </c>
      <c r="BC297">
        <v>226</v>
      </c>
      <c r="BD297">
        <v>340</v>
      </c>
      <c r="BE297">
        <v>80</v>
      </c>
      <c r="BF297">
        <v>67</v>
      </c>
      <c r="BG297">
        <v>44</v>
      </c>
      <c r="BH297">
        <v>18</v>
      </c>
      <c r="BI297">
        <v>2</v>
      </c>
      <c r="BJ297">
        <v>16</v>
      </c>
      <c r="BK297">
        <v>1</v>
      </c>
      <c r="BL297" t="s">
        <v>486</v>
      </c>
      <c r="BM297">
        <f>HYPERLINK(".\links\GO\TI-493-GO.txt",1E-67)</f>
        <v>9.9999999999999994E-68</v>
      </c>
      <c r="BN297" t="s">
        <v>339</v>
      </c>
      <c r="BO297" t="s">
        <v>340</v>
      </c>
      <c r="BP297" t="s">
        <v>341</v>
      </c>
      <c r="BQ297" t="s">
        <v>342</v>
      </c>
      <c r="BR297" s="3">
        <v>9.9999999999999994E-68</v>
      </c>
      <c r="BS297" t="s">
        <v>487</v>
      </c>
      <c r="BT297" t="s">
        <v>323</v>
      </c>
      <c r="BU297" t="s">
        <v>488</v>
      </c>
      <c r="BV297" t="s">
        <v>489</v>
      </c>
      <c r="BW297" s="3">
        <v>9.9999999999999994E-68</v>
      </c>
      <c r="BX297" t="s">
        <v>490</v>
      </c>
      <c r="BY297" t="s">
        <v>340</v>
      </c>
      <c r="BZ297" t="s">
        <v>341</v>
      </c>
      <c r="CA297" t="s">
        <v>491</v>
      </c>
      <c r="CB297" s="3">
        <v>9.9999999999999994E-68</v>
      </c>
      <c r="CC297" t="s">
        <v>8</v>
      </c>
      <c r="CD297"/>
      <c r="CE297"/>
      <c r="CF297" t="s">
        <v>8</v>
      </c>
      <c r="CG297"/>
      <c r="CH297"/>
      <c r="CI297" t="s">
        <v>8</v>
      </c>
      <c r="CJ297"/>
      <c r="CK297" t="s">
        <v>8</v>
      </c>
      <c r="CL297"/>
      <c r="CM297" t="s">
        <v>8</v>
      </c>
      <c r="CN297"/>
      <c r="CO297" t="s">
        <v>8</v>
      </c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 t="s">
        <v>8</v>
      </c>
      <c r="DD297"/>
      <c r="DE297"/>
      <c r="DF297"/>
      <c r="DG297"/>
      <c r="DH297"/>
      <c r="DI297"/>
      <c r="DJ297"/>
      <c r="DK297"/>
      <c r="DL297"/>
      <c r="DM297"/>
      <c r="DN297"/>
      <c r="DO297"/>
      <c r="DP297"/>
    </row>
    <row r="298" spans="1:120" s="4" customFormat="1">
      <c r="A298" t="str">
        <f>HYPERLINK(".\links\pep\TI-494-pep.txt","TI-494")</f>
        <v>TI-494</v>
      </c>
      <c r="B298">
        <v>494</v>
      </c>
      <c r="C298" t="s">
        <v>7</v>
      </c>
      <c r="D298">
        <v>143</v>
      </c>
      <c r="E298">
        <v>0</v>
      </c>
      <c r="F298" t="str">
        <f>HYPERLINK(".\links\cds\TI-494-cds.txt","TI-494")</f>
        <v>TI-494</v>
      </c>
      <c r="G298">
        <v>432</v>
      </c>
      <c r="H298"/>
      <c r="I298" t="s">
        <v>29</v>
      </c>
      <c r="J298" t="s">
        <v>6</v>
      </c>
      <c r="K298">
        <v>4</v>
      </c>
      <c r="L298">
        <v>1</v>
      </c>
      <c r="M298">
        <f t="shared" si="16"/>
        <v>3</v>
      </c>
      <c r="N298">
        <f t="shared" si="17"/>
        <v>3</v>
      </c>
      <c r="O298" t="s">
        <v>1236</v>
      </c>
      <c r="P298" t="s">
        <v>1169</v>
      </c>
      <c r="Q298" t="str">
        <f>HYPERLINK(".\links\SWISSP\TI-494-SWISSP.txt","SWISSP")</f>
        <v>SWISSP</v>
      </c>
      <c r="R298" s="3">
        <v>2.9999999999999999E-75</v>
      </c>
      <c r="S298">
        <v>100</v>
      </c>
      <c r="T298" t="str">
        <f>HYPERLINK(".\links\NR-LIGHT\TI-494-NR-LIGHT.txt","40S ribosomal protein S23, putative")</f>
        <v>40S ribosomal protein S23, putative</v>
      </c>
      <c r="U298" t="str">
        <f>HYPERLINK("http://www.ncbi.nlm.nih.gov/sutils/blink.cgi?pid=242025351","4E-075")</f>
        <v>4E-075</v>
      </c>
      <c r="V298" t="str">
        <f>HYPERLINK("http://www.ncbi.nlm.nih.gov/protein/242025351","gi|242025351")</f>
        <v>gi|242025351</v>
      </c>
      <c r="W298">
        <v>281</v>
      </c>
      <c r="X298">
        <v>142</v>
      </c>
      <c r="Y298">
        <v>143</v>
      </c>
      <c r="Z298">
        <v>96</v>
      </c>
      <c r="AA298">
        <v>100</v>
      </c>
      <c r="AB298">
        <v>5</v>
      </c>
      <c r="AC298">
        <v>0</v>
      </c>
      <c r="AD298">
        <v>1</v>
      </c>
      <c r="AE298">
        <v>1</v>
      </c>
      <c r="AF298">
        <v>1</v>
      </c>
      <c r="AG298"/>
      <c r="AH298" t="s">
        <v>13</v>
      </c>
      <c r="AI298" t="s">
        <v>51</v>
      </c>
      <c r="AJ298" t="s">
        <v>268</v>
      </c>
      <c r="AK298" t="str">
        <f>HYPERLINK(".\links\SWISSP\TI-494-SWISSP.txt","40S ribosomal protein S23 OS=Spodoptera frugiperda GN=RpS23 PE=2 SV=1")</f>
        <v>40S ribosomal protein S23 OS=Spodoptera frugiperda GN=RpS23 PE=2 SV=1</v>
      </c>
      <c r="AL298" t="str">
        <f>HYPERLINK("http://www.uniprot.org/uniprot/Q962Q7","3E-075")</f>
        <v>3E-075</v>
      </c>
      <c r="AM298" t="s">
        <v>243</v>
      </c>
      <c r="AN298">
        <v>279</v>
      </c>
      <c r="AO298">
        <v>142</v>
      </c>
      <c r="AP298">
        <v>143</v>
      </c>
      <c r="AQ298">
        <v>95</v>
      </c>
      <c r="AR298">
        <v>100</v>
      </c>
      <c r="AS298">
        <v>6</v>
      </c>
      <c r="AT298">
        <v>0</v>
      </c>
      <c r="AU298">
        <v>1</v>
      </c>
      <c r="AV298">
        <v>1</v>
      </c>
      <c r="AW298">
        <v>1</v>
      </c>
      <c r="AX298" t="s">
        <v>58</v>
      </c>
      <c r="AY298" t="str">
        <f>HYPERLINK(".\links\PREV-RHOD-PEP\TI-494-PREV-RHOD-PEP.txt","Contig17967_29")</f>
        <v>Contig17967_29</v>
      </c>
      <c r="AZ298" s="3">
        <v>1.9999999999999999E-77</v>
      </c>
      <c r="BA298" t="s">
        <v>1151</v>
      </c>
      <c r="BB298">
        <v>283</v>
      </c>
      <c r="BC298">
        <v>142</v>
      </c>
      <c r="BD298">
        <v>143</v>
      </c>
      <c r="BE298">
        <v>97</v>
      </c>
      <c r="BF298">
        <v>100</v>
      </c>
      <c r="BG298">
        <v>3</v>
      </c>
      <c r="BH298">
        <v>0</v>
      </c>
      <c r="BI298">
        <v>1</v>
      </c>
      <c r="BJ298">
        <v>1</v>
      </c>
      <c r="BK298">
        <v>1</v>
      </c>
      <c r="BL298" t="s">
        <v>947</v>
      </c>
      <c r="BM298">
        <f>HYPERLINK(".\links\GO\TI-494-GO.txt",5E-75)</f>
        <v>4.9999999999999998E-75</v>
      </c>
      <c r="BN298" t="s">
        <v>329</v>
      </c>
      <c r="BO298" t="s">
        <v>330</v>
      </c>
      <c r="BP298" t="s">
        <v>331</v>
      </c>
      <c r="BQ298" t="s">
        <v>332</v>
      </c>
      <c r="BR298" s="3">
        <v>4.9999999999999998E-75</v>
      </c>
      <c r="BS298" t="s">
        <v>739</v>
      </c>
      <c r="BT298" t="s">
        <v>323</v>
      </c>
      <c r="BU298" t="s">
        <v>334</v>
      </c>
      <c r="BV298" t="s">
        <v>740</v>
      </c>
      <c r="BW298" s="3">
        <v>4.9999999999999998E-75</v>
      </c>
      <c r="BX298" t="s">
        <v>336</v>
      </c>
      <c r="BY298" t="s">
        <v>330</v>
      </c>
      <c r="BZ298" t="s">
        <v>331</v>
      </c>
      <c r="CA298" t="s">
        <v>337</v>
      </c>
      <c r="CB298" s="3">
        <v>4.9999999999999998E-75</v>
      </c>
      <c r="CC298" t="s">
        <v>8</v>
      </c>
      <c r="CD298"/>
      <c r="CE298"/>
      <c r="CF298" t="s">
        <v>8</v>
      </c>
      <c r="CG298"/>
      <c r="CH298"/>
      <c r="CI298" t="s">
        <v>8</v>
      </c>
      <c r="CJ298"/>
      <c r="CK298" t="s">
        <v>8</v>
      </c>
      <c r="CL298"/>
      <c r="CM298" t="s">
        <v>8</v>
      </c>
      <c r="CN298"/>
      <c r="CO298" t="s">
        <v>8</v>
      </c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 t="s">
        <v>8</v>
      </c>
      <c r="DD298"/>
      <c r="DE298"/>
      <c r="DF298"/>
      <c r="DG298"/>
      <c r="DH298"/>
      <c r="DI298"/>
      <c r="DJ298"/>
      <c r="DK298"/>
      <c r="DL298"/>
      <c r="DM298"/>
      <c r="DN298"/>
      <c r="DO298"/>
      <c r="DP298"/>
    </row>
    <row r="299" spans="1:120" s="4" customFormat="1">
      <c r="A299" t="str">
        <f>HYPERLINK(".\links\pep\TI-495-pep.txt","TI-495")</f>
        <v>TI-495</v>
      </c>
      <c r="B299">
        <v>495</v>
      </c>
      <c r="C299" t="s">
        <v>7</v>
      </c>
      <c r="D299">
        <v>208</v>
      </c>
      <c r="E299">
        <v>0</v>
      </c>
      <c r="F299" t="str">
        <f>HYPERLINK(".\links\cds\TI-495-cds.txt","TI-495")</f>
        <v>TI-495</v>
      </c>
      <c r="G299">
        <v>627</v>
      </c>
      <c r="H299"/>
      <c r="I299" t="s">
        <v>29</v>
      </c>
      <c r="J299" t="s">
        <v>6</v>
      </c>
      <c r="K299">
        <v>1</v>
      </c>
      <c r="L299">
        <v>4</v>
      </c>
      <c r="M299">
        <f t="shared" si="16"/>
        <v>-3</v>
      </c>
      <c r="N299">
        <f t="shared" si="17"/>
        <v>3</v>
      </c>
      <c r="O299" t="s">
        <v>1237</v>
      </c>
      <c r="P299" t="s">
        <v>1169</v>
      </c>
      <c r="Q299" t="str">
        <f>HYPERLINK(".\links\NR-LIGHT\TI-495-NR-LIGHT.txt","NR-LIGHT")</f>
        <v>NR-LIGHT</v>
      </c>
      <c r="R299">
        <v>0</v>
      </c>
      <c r="S299">
        <v>100</v>
      </c>
      <c r="T299" t="str">
        <f>HYPERLINK(".\links\NR-LIGHT\TI-495-NR-LIGHT.txt","40S ribosomal protein S8")</f>
        <v>40S ribosomal protein S8</v>
      </c>
      <c r="U299" t="str">
        <f>HYPERLINK("http://www.ncbi.nlm.nih.gov/sutils/blink.cgi?pid=149689088","1E-106")</f>
        <v>1E-106</v>
      </c>
      <c r="V299" t="str">
        <f>HYPERLINK("http://www.ncbi.nlm.nih.gov/protein/149689088","gi|149689088")</f>
        <v>gi|149689088</v>
      </c>
      <c r="W299">
        <v>387</v>
      </c>
      <c r="X299">
        <v>207</v>
      </c>
      <c r="Y299">
        <v>208</v>
      </c>
      <c r="Z299">
        <v>91</v>
      </c>
      <c r="AA299">
        <v>100</v>
      </c>
      <c r="AB299">
        <v>17</v>
      </c>
      <c r="AC299">
        <v>0</v>
      </c>
      <c r="AD299">
        <v>1</v>
      </c>
      <c r="AE299">
        <v>1</v>
      </c>
      <c r="AF299">
        <v>1</v>
      </c>
      <c r="AG299"/>
      <c r="AH299" t="s">
        <v>13</v>
      </c>
      <c r="AI299" t="s">
        <v>51</v>
      </c>
      <c r="AJ299" t="s">
        <v>273</v>
      </c>
      <c r="AK299" t="str">
        <f>HYPERLINK(".\links\SWISSP\TI-495-SWISSP.txt","40S ribosomal protein S8 OS=Apis mellifera GN=RpS8 PE=2 SV=2")</f>
        <v>40S ribosomal protein S8 OS=Apis mellifera GN=RpS8 PE=2 SV=2</v>
      </c>
      <c r="AL299" t="str">
        <f>HYPERLINK("http://www.uniprot.org/uniprot/O76756","1E-090")</f>
        <v>1E-090</v>
      </c>
      <c r="AM299" t="s">
        <v>244</v>
      </c>
      <c r="AN299">
        <v>332</v>
      </c>
      <c r="AO299">
        <v>207</v>
      </c>
      <c r="AP299">
        <v>208</v>
      </c>
      <c r="AQ299">
        <v>76</v>
      </c>
      <c r="AR299">
        <v>100</v>
      </c>
      <c r="AS299">
        <v>48</v>
      </c>
      <c r="AT299">
        <v>0</v>
      </c>
      <c r="AU299">
        <v>1</v>
      </c>
      <c r="AV299">
        <v>1</v>
      </c>
      <c r="AW299">
        <v>1</v>
      </c>
      <c r="AX299" t="s">
        <v>83</v>
      </c>
      <c r="AY299" t="str">
        <f>HYPERLINK(".\links\PREV-RHOD-PEP\TI-495-PREV-RHOD-PEP.txt","Contig17558_45")</f>
        <v>Contig17558_45</v>
      </c>
      <c r="AZ299" s="3">
        <v>9.9999999999999997E-106</v>
      </c>
      <c r="BA299" t="s">
        <v>1152</v>
      </c>
      <c r="BB299">
        <v>376</v>
      </c>
      <c r="BC299">
        <v>206</v>
      </c>
      <c r="BD299">
        <v>212</v>
      </c>
      <c r="BE299">
        <v>88</v>
      </c>
      <c r="BF299">
        <v>98</v>
      </c>
      <c r="BG299">
        <v>23</v>
      </c>
      <c r="BH299">
        <v>0</v>
      </c>
      <c r="BI299">
        <v>6</v>
      </c>
      <c r="BJ299">
        <v>2</v>
      </c>
      <c r="BK299">
        <v>1</v>
      </c>
      <c r="BL299" t="s">
        <v>948</v>
      </c>
      <c r="BM299">
        <f>HYPERLINK(".\links\GO\TI-495-GO.txt",2E-83)</f>
        <v>2.0000000000000001E-83</v>
      </c>
      <c r="BN299" t="s">
        <v>373</v>
      </c>
      <c r="BO299" t="s">
        <v>373</v>
      </c>
      <c r="BP299"/>
      <c r="BQ299" t="s">
        <v>374</v>
      </c>
      <c r="BR299" s="3">
        <v>2.0000000000000001E-83</v>
      </c>
      <c r="BS299" t="s">
        <v>431</v>
      </c>
      <c r="BT299" t="s">
        <v>323</v>
      </c>
      <c r="BU299" t="s">
        <v>334</v>
      </c>
      <c r="BV299" t="s">
        <v>432</v>
      </c>
      <c r="BW299" s="3">
        <v>2.0000000000000001E-83</v>
      </c>
      <c r="BX299" t="s">
        <v>814</v>
      </c>
      <c r="BY299" t="s">
        <v>373</v>
      </c>
      <c r="BZ299"/>
      <c r="CA299" t="s">
        <v>815</v>
      </c>
      <c r="CB299" s="3">
        <v>2.0000000000000001E-83</v>
      </c>
      <c r="CC299" t="s">
        <v>8</v>
      </c>
      <c r="CD299"/>
      <c r="CE299"/>
      <c r="CF299" t="s">
        <v>8</v>
      </c>
      <c r="CG299"/>
      <c r="CH299"/>
      <c r="CI299" t="s">
        <v>8</v>
      </c>
      <c r="CJ299"/>
      <c r="CK299" t="s">
        <v>8</v>
      </c>
      <c r="CL299"/>
      <c r="CM299" t="s">
        <v>8</v>
      </c>
      <c r="CN299"/>
      <c r="CO299" t="s">
        <v>8</v>
      </c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 t="s">
        <v>8</v>
      </c>
      <c r="DD299"/>
      <c r="DE299"/>
      <c r="DF299"/>
      <c r="DG299"/>
      <c r="DH299"/>
      <c r="DI299"/>
      <c r="DJ299"/>
      <c r="DK299"/>
      <c r="DL299"/>
      <c r="DM299"/>
      <c r="DN299"/>
      <c r="DO299"/>
      <c r="DP299"/>
    </row>
    <row r="300" spans="1:120" s="5" customFormat="1">
      <c r="A300" t="str">
        <f>HYPERLINK(".\links\pep\TI-497-pep.txt","TI-497")</f>
        <v>TI-497</v>
      </c>
      <c r="B300">
        <v>497</v>
      </c>
      <c r="C300" t="s">
        <v>11</v>
      </c>
      <c r="D300">
        <v>250</v>
      </c>
      <c r="E300" s="2">
        <v>1.2</v>
      </c>
      <c r="F300" t="str">
        <f>HYPERLINK(".\links\cds\TI-497-cds.txt","TI-497")</f>
        <v>TI-497</v>
      </c>
      <c r="G300">
        <v>748</v>
      </c>
      <c r="H300"/>
      <c r="I300" t="s">
        <v>8</v>
      </c>
      <c r="J300" t="s">
        <v>8</v>
      </c>
      <c r="K300">
        <v>0</v>
      </c>
      <c r="L300">
        <v>1</v>
      </c>
      <c r="M300">
        <f t="shared" si="16"/>
        <v>-1</v>
      </c>
      <c r="N300">
        <f t="shared" si="17"/>
        <v>1</v>
      </c>
      <c r="O300" t="s">
        <v>1343</v>
      </c>
      <c r="P300" t="s">
        <v>1178</v>
      </c>
      <c r="Q300" t="str">
        <f>HYPERLINK(".\links\NR-LIGHT\TI-497-NR-LIGHT.txt","NR-LIGHT")</f>
        <v>NR-LIGHT</v>
      </c>
      <c r="R300" s="3">
        <v>4.9999999999999999E-49</v>
      </c>
      <c r="S300">
        <v>42</v>
      </c>
      <c r="T300" t="str">
        <f>HYPERLINK(".\links\NR-LIGHT\TI-497-NR-LIGHT.txt","similar to FL(2)D protein, putative")</f>
        <v>similar to FL(2)D protein, putative</v>
      </c>
      <c r="U300" t="str">
        <f>HYPERLINK("http://www.ncbi.nlm.nih.gov/sutils/blink.cgi?pid=156545287","5E-049")</f>
        <v>5E-049</v>
      </c>
      <c r="V300" t="str">
        <f>HYPERLINK("http://www.ncbi.nlm.nih.gov/protein/156545287","gi|156545287")</f>
        <v>gi|156545287</v>
      </c>
      <c r="W300">
        <v>196</v>
      </c>
      <c r="X300">
        <v>204</v>
      </c>
      <c r="Y300">
        <v>488</v>
      </c>
      <c r="Z300">
        <v>51</v>
      </c>
      <c r="AA300">
        <v>42</v>
      </c>
      <c r="AB300">
        <v>99</v>
      </c>
      <c r="AC300">
        <v>22</v>
      </c>
      <c r="AD300">
        <v>92</v>
      </c>
      <c r="AE300">
        <v>5</v>
      </c>
      <c r="AF300">
        <v>1</v>
      </c>
      <c r="AG300"/>
      <c r="AH300" t="s">
        <v>13</v>
      </c>
      <c r="AI300" t="s">
        <v>51</v>
      </c>
      <c r="AJ300" t="s">
        <v>274</v>
      </c>
      <c r="AK300" t="str">
        <f>HYPERLINK(".\links\SWISSP\TI-497-SWISSP.txt","Pre-mRNA-splicing regulator female-lethal(2)D OS=Drosophila pseudoobscura")</f>
        <v>Pre-mRNA-splicing regulator female-lethal(2)D OS=Drosophila pseudoobscura</v>
      </c>
      <c r="AL300" t="str">
        <f>HYPERLINK("http://www.uniprot.org/uniprot/Q28XY0","1E-043")</f>
        <v>1E-043</v>
      </c>
      <c r="AM300" t="s">
        <v>106</v>
      </c>
      <c r="AN300">
        <v>176</v>
      </c>
      <c r="AO300">
        <v>175</v>
      </c>
      <c r="AP300">
        <v>560</v>
      </c>
      <c r="AQ300">
        <v>55</v>
      </c>
      <c r="AR300">
        <v>31</v>
      </c>
      <c r="AS300">
        <v>79</v>
      </c>
      <c r="AT300">
        <v>22</v>
      </c>
      <c r="AU300">
        <v>142</v>
      </c>
      <c r="AV300">
        <v>34</v>
      </c>
      <c r="AW300">
        <v>1</v>
      </c>
      <c r="AX300" t="s">
        <v>107</v>
      </c>
      <c r="AY300" t="str">
        <f>HYPERLINK(".\links\PREV-RHOD-PEP\TI-497-PREV-RHOD-PEP.txt","Contig5571_22")</f>
        <v>Contig5571_22</v>
      </c>
      <c r="AZ300" s="3">
        <v>2E-91</v>
      </c>
      <c r="BA300" t="s">
        <v>1022</v>
      </c>
      <c r="BB300">
        <v>331</v>
      </c>
      <c r="BC300">
        <v>267</v>
      </c>
      <c r="BD300">
        <v>408</v>
      </c>
      <c r="BE300">
        <v>68</v>
      </c>
      <c r="BF300">
        <v>66</v>
      </c>
      <c r="BG300">
        <v>86</v>
      </c>
      <c r="BH300">
        <v>24</v>
      </c>
      <c r="BI300">
        <v>70</v>
      </c>
      <c r="BJ300">
        <v>5</v>
      </c>
      <c r="BK300">
        <v>1</v>
      </c>
      <c r="BL300" t="s">
        <v>506</v>
      </c>
      <c r="BM300">
        <f>HYPERLINK(".\links\GO\TI-497-GO.txt",9E-43)</f>
        <v>9.0000000000000005E-43</v>
      </c>
      <c r="BN300" t="s">
        <v>507</v>
      </c>
      <c r="BO300" t="s">
        <v>345</v>
      </c>
      <c r="BP300" t="s">
        <v>508</v>
      </c>
      <c r="BQ300" t="s">
        <v>509</v>
      </c>
      <c r="BR300" s="3">
        <v>9.0000000000000005E-43</v>
      </c>
      <c r="BS300" t="s">
        <v>447</v>
      </c>
      <c r="BT300" t="s">
        <v>323</v>
      </c>
      <c r="BU300" t="s">
        <v>334</v>
      </c>
      <c r="BV300" t="s">
        <v>448</v>
      </c>
      <c r="BW300" s="3">
        <v>9.0000000000000005E-43</v>
      </c>
      <c r="BX300" t="s">
        <v>510</v>
      </c>
      <c r="BY300" t="s">
        <v>345</v>
      </c>
      <c r="BZ300" t="s">
        <v>508</v>
      </c>
      <c r="CA300" t="s">
        <v>511</v>
      </c>
      <c r="CB300" s="3">
        <v>9.0000000000000005E-43</v>
      </c>
      <c r="CC300" t="s">
        <v>8</v>
      </c>
      <c r="CD300"/>
      <c r="CE300"/>
      <c r="CF300" t="s">
        <v>8</v>
      </c>
      <c r="CG300"/>
      <c r="CH300"/>
      <c r="CI300" t="s">
        <v>8</v>
      </c>
      <c r="CJ300"/>
      <c r="CK300" t="s">
        <v>8</v>
      </c>
      <c r="CL300"/>
      <c r="CM300" t="s">
        <v>8</v>
      </c>
      <c r="CN300"/>
      <c r="CO300" t="s">
        <v>8</v>
      </c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 t="s">
        <v>8</v>
      </c>
      <c r="DD300"/>
      <c r="DE300"/>
      <c r="DF300"/>
      <c r="DG300"/>
      <c r="DH300"/>
      <c r="DI300"/>
      <c r="DJ300"/>
      <c r="DK300"/>
      <c r="DL300"/>
      <c r="DM300"/>
      <c r="DN300"/>
      <c r="DO300"/>
      <c r="DP300"/>
    </row>
    <row r="301" spans="1:120" s="5" customFormat="1">
      <c r="A301" s="6" t="str">
        <f>HYPERLINK(".\links\pep\TI-498-pep.txt","TI-498")</f>
        <v>TI-498</v>
      </c>
      <c r="B301" s="6">
        <v>498</v>
      </c>
      <c r="C301" s="6" t="s">
        <v>18</v>
      </c>
      <c r="D301" s="6">
        <v>22</v>
      </c>
      <c r="E301" s="6">
        <v>0</v>
      </c>
      <c r="F301" s="6" t="str">
        <f>HYPERLINK(".\links\cds\TI-498-cds.txt","TI-498")</f>
        <v>TI-498</v>
      </c>
      <c r="G301" s="6">
        <v>69</v>
      </c>
      <c r="H301" s="6"/>
      <c r="I301" s="6" t="s">
        <v>8</v>
      </c>
      <c r="J301" s="6" t="s">
        <v>6</v>
      </c>
      <c r="K301" s="6">
        <v>1</v>
      </c>
      <c r="L301" s="6">
        <v>0</v>
      </c>
      <c r="M301" s="6">
        <f t="shared" si="16"/>
        <v>1</v>
      </c>
      <c r="N301" s="6">
        <f t="shared" si="17"/>
        <v>1</v>
      </c>
      <c r="O301" s="6" t="s">
        <v>1170</v>
      </c>
      <c r="P301" s="6" t="s">
        <v>1171</v>
      </c>
      <c r="Q301" s="6"/>
      <c r="R301" s="6"/>
      <c r="S301" s="6"/>
      <c r="T301" s="6" t="s">
        <v>8</v>
      </c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 t="s">
        <v>8</v>
      </c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 t="s">
        <v>8</v>
      </c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 t="s">
        <v>8</v>
      </c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 t="s">
        <v>8</v>
      </c>
      <c r="CD301" s="6"/>
      <c r="CE301" s="6"/>
      <c r="CF301" s="6" t="s">
        <v>8</v>
      </c>
      <c r="CG301" s="6"/>
      <c r="CH301" s="6"/>
      <c r="CI301" s="6" t="s">
        <v>8</v>
      </c>
      <c r="CJ301" s="6"/>
      <c r="CK301" s="6" t="s">
        <v>8</v>
      </c>
      <c r="CL301" s="6"/>
      <c r="CM301" s="6" t="s">
        <v>8</v>
      </c>
      <c r="CN301" s="6"/>
      <c r="CO301" s="6" t="s">
        <v>8</v>
      </c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 t="s">
        <v>8</v>
      </c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</row>
    <row r="302" spans="1:120" s="5" customFormat="1">
      <c r="A302" t="str">
        <f>HYPERLINK(".\links\pep\TI-501-pep.txt","TI-501")</f>
        <v>TI-501</v>
      </c>
      <c r="B302">
        <v>501</v>
      </c>
      <c r="C302" t="s">
        <v>10</v>
      </c>
      <c r="D302">
        <v>195</v>
      </c>
      <c r="E302" s="2">
        <v>2.051282</v>
      </c>
      <c r="F302" t="str">
        <f>HYPERLINK(".\links\cds\TI-501-cds.txt","TI-501")</f>
        <v>TI-501</v>
      </c>
      <c r="G302">
        <v>588</v>
      </c>
      <c r="H302"/>
      <c r="I302" t="s">
        <v>8</v>
      </c>
      <c r="J302" t="s">
        <v>6</v>
      </c>
      <c r="K302">
        <v>0</v>
      </c>
      <c r="L302">
        <v>1</v>
      </c>
      <c r="M302">
        <f t="shared" si="16"/>
        <v>-1</v>
      </c>
      <c r="N302">
        <f t="shared" si="17"/>
        <v>1</v>
      </c>
      <c r="O302" t="s">
        <v>1238</v>
      </c>
      <c r="P302" t="s">
        <v>1213</v>
      </c>
      <c r="Q302" t="str">
        <f>HYPERLINK(".\links\NR-LIGHT\TI-501-NR-LIGHT.txt","NR-LIGHT")</f>
        <v>NR-LIGHT</v>
      </c>
      <c r="R302" s="3">
        <v>9.9999999999999996E-83</v>
      </c>
      <c r="S302">
        <v>98.9</v>
      </c>
      <c r="T302" t="str">
        <f>HYPERLINK(".\links\NR-LIGHT\TI-501-NR-LIGHT.txt","putative microsomal signal peptidase 25 kD subunit")</f>
        <v>putative microsomal signal peptidase 25 kD subunit</v>
      </c>
      <c r="U302" t="str">
        <f>HYPERLINK("http://www.ncbi.nlm.nih.gov/sutils/blink.cgi?pid=263173484","1E-082")</f>
        <v>1E-082</v>
      </c>
      <c r="V302" t="str">
        <f>HYPERLINK("http://www.ncbi.nlm.nih.gov/protein/263173484","gi|263173484")</f>
        <v>gi|263173484</v>
      </c>
      <c r="W302">
        <v>307</v>
      </c>
      <c r="X302">
        <v>190</v>
      </c>
      <c r="Y302">
        <v>193</v>
      </c>
      <c r="Z302">
        <v>75</v>
      </c>
      <c r="AA302">
        <v>99</v>
      </c>
      <c r="AB302">
        <v>47</v>
      </c>
      <c r="AC302">
        <v>0</v>
      </c>
      <c r="AD302">
        <v>3</v>
      </c>
      <c r="AE302">
        <v>5</v>
      </c>
      <c r="AF302">
        <v>1</v>
      </c>
      <c r="AG302"/>
      <c r="AH302" t="s">
        <v>13</v>
      </c>
      <c r="AI302" t="s">
        <v>51</v>
      </c>
      <c r="AJ302" t="s">
        <v>280</v>
      </c>
      <c r="AK302" t="str">
        <f>HYPERLINK(".\links\SWISSP\TI-501-SWISSP.txt","Probable signal peptidase complex subunit 2 OS=Xenopus tropicalis GN=spcs2 PE=2")</f>
        <v>Probable signal peptidase complex subunit 2 OS=Xenopus tropicalis GN=spcs2 PE=2</v>
      </c>
      <c r="AL302" t="str">
        <f>HYPERLINK("http://www.uniprot.org/uniprot/Q5M8Y1","4E-059")</f>
        <v>4E-059</v>
      </c>
      <c r="AM302" t="s">
        <v>99</v>
      </c>
      <c r="AN302">
        <v>227</v>
      </c>
      <c r="AO302">
        <v>189</v>
      </c>
      <c r="AP302">
        <v>201</v>
      </c>
      <c r="AQ302">
        <v>56</v>
      </c>
      <c r="AR302">
        <v>95</v>
      </c>
      <c r="AS302">
        <v>82</v>
      </c>
      <c r="AT302">
        <v>0</v>
      </c>
      <c r="AU302">
        <v>12</v>
      </c>
      <c r="AV302">
        <v>6</v>
      </c>
      <c r="AW302">
        <v>1</v>
      </c>
      <c r="AX302" t="s">
        <v>100</v>
      </c>
      <c r="AY302" t="str">
        <f>HYPERLINK(".\links\PREV-RHOD-PEP\TI-501-PREV-RHOD-PEP.txt","Contig17852_10")</f>
        <v>Contig17852_10</v>
      </c>
      <c r="AZ302" s="3">
        <v>1.0000000000000001E-101</v>
      </c>
      <c r="BA302" t="s">
        <v>1014</v>
      </c>
      <c r="BB302">
        <v>364</v>
      </c>
      <c r="BC302">
        <v>190</v>
      </c>
      <c r="BD302">
        <v>193</v>
      </c>
      <c r="BE302">
        <v>93</v>
      </c>
      <c r="BF302">
        <v>99</v>
      </c>
      <c r="BG302">
        <v>12</v>
      </c>
      <c r="BH302">
        <v>0</v>
      </c>
      <c r="BI302">
        <v>3</v>
      </c>
      <c r="BJ302">
        <v>5</v>
      </c>
      <c r="BK302">
        <v>1</v>
      </c>
      <c r="BL302" t="s">
        <v>475</v>
      </c>
      <c r="BM302">
        <f>HYPERLINK(".\links\GO\TI-501-GO.txt",5E-42)</f>
        <v>5E-42</v>
      </c>
      <c r="BN302" t="s">
        <v>455</v>
      </c>
      <c r="BO302" t="s">
        <v>345</v>
      </c>
      <c r="BP302" t="s">
        <v>349</v>
      </c>
      <c r="BQ302" t="s">
        <v>456</v>
      </c>
      <c r="BR302" s="3">
        <v>5E-42</v>
      </c>
      <c r="BS302" t="s">
        <v>476</v>
      </c>
      <c r="BT302" t="s">
        <v>477</v>
      </c>
      <c r="BU302" t="s">
        <v>477</v>
      </c>
      <c r="BV302" t="s">
        <v>478</v>
      </c>
      <c r="BW302" s="3">
        <v>5E-42</v>
      </c>
      <c r="BX302" t="s">
        <v>479</v>
      </c>
      <c r="BY302" t="s">
        <v>345</v>
      </c>
      <c r="BZ302" t="s">
        <v>349</v>
      </c>
      <c r="CA302" t="s">
        <v>480</v>
      </c>
      <c r="CB302" s="3">
        <v>5E-42</v>
      </c>
      <c r="CC302" t="s">
        <v>8</v>
      </c>
      <c r="CD302"/>
      <c r="CE302"/>
      <c r="CF302" t="s">
        <v>8</v>
      </c>
      <c r="CG302"/>
      <c r="CH302"/>
      <c r="CI302" t="s">
        <v>8</v>
      </c>
      <c r="CJ302"/>
      <c r="CK302" t="s">
        <v>8</v>
      </c>
      <c r="CL302"/>
      <c r="CM302" t="s">
        <v>8</v>
      </c>
      <c r="CN302"/>
      <c r="CO302" t="s">
        <v>8</v>
      </c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 t="s">
        <v>8</v>
      </c>
      <c r="DD302"/>
      <c r="DE302"/>
      <c r="DF302"/>
      <c r="DG302"/>
      <c r="DH302"/>
      <c r="DI302"/>
      <c r="DJ302"/>
      <c r="DK302"/>
      <c r="DL302"/>
      <c r="DM302"/>
      <c r="DN302"/>
      <c r="DO302"/>
      <c r="DP302"/>
    </row>
    <row r="303" spans="1:120" s="5" customFormat="1">
      <c r="A303" t="str">
        <f>HYPERLINK(".\links\pep\TI-502-pep.txt","TI-502")</f>
        <v>TI-502</v>
      </c>
      <c r="B303">
        <v>502</v>
      </c>
      <c r="C303" t="s">
        <v>28</v>
      </c>
      <c r="D303">
        <v>89</v>
      </c>
      <c r="E303" s="2">
        <v>1.1235949999999999</v>
      </c>
      <c r="F303" t="str">
        <f>HYPERLINK(".\links\cds\TI-502-cds.txt","TI-502")</f>
        <v>TI-502</v>
      </c>
      <c r="G303">
        <v>270</v>
      </c>
      <c r="H303"/>
      <c r="I303" t="s">
        <v>8</v>
      </c>
      <c r="J303" t="s">
        <v>6</v>
      </c>
      <c r="K303">
        <v>0</v>
      </c>
      <c r="L303">
        <v>1</v>
      </c>
      <c r="M303">
        <f t="shared" si="16"/>
        <v>-1</v>
      </c>
      <c r="N303">
        <f t="shared" si="17"/>
        <v>1</v>
      </c>
      <c r="O303" t="s">
        <v>1344</v>
      </c>
      <c r="P303" t="s">
        <v>1169</v>
      </c>
      <c r="Q303" t="str">
        <f>HYPERLINK(".\links\NR-LIGHT\TI-502-NR-LIGHT.txt","NR-LIGHT")</f>
        <v>NR-LIGHT</v>
      </c>
      <c r="R303" s="3">
        <v>2.0000000000000001E-33</v>
      </c>
      <c r="S303">
        <v>45.3</v>
      </c>
      <c r="T303" t="str">
        <f>HYPERLINK(".\links\NR-LIGHT\TI-502-NR-LIGHT.txt","40S ribosomal protein S7-like")</f>
        <v>40S ribosomal protein S7-like</v>
      </c>
      <c r="U303" t="str">
        <f>HYPERLINK("http://www.ncbi.nlm.nih.gov/sutils/blink.cgi?pid=285002187","2E-033")</f>
        <v>2E-033</v>
      </c>
      <c r="V303" t="str">
        <f>HYPERLINK("http://www.ncbi.nlm.nih.gov/protein/285002187","gi|285002187")</f>
        <v>gi|285002187</v>
      </c>
      <c r="W303">
        <v>142</v>
      </c>
      <c r="X303">
        <v>87</v>
      </c>
      <c r="Y303">
        <v>194</v>
      </c>
      <c r="Z303">
        <v>76</v>
      </c>
      <c r="AA303">
        <v>45</v>
      </c>
      <c r="AB303">
        <v>21</v>
      </c>
      <c r="AC303">
        <v>0</v>
      </c>
      <c r="AD303">
        <v>107</v>
      </c>
      <c r="AE303">
        <v>2</v>
      </c>
      <c r="AF303">
        <v>1</v>
      </c>
      <c r="AG303"/>
      <c r="AH303" t="s">
        <v>13</v>
      </c>
      <c r="AI303" t="s">
        <v>51</v>
      </c>
      <c r="AJ303" t="s">
        <v>264</v>
      </c>
      <c r="AK303" t="str">
        <f>HYPERLINK(".\links\SWISSP\TI-502-SWISSP.txt","40S ribosomal protein S7 OS=Spodoptera frugiperda GN=RpS7 PE=2 SV=1")</f>
        <v>40S ribosomal protein S7 OS=Spodoptera frugiperda GN=RpS7 PE=2 SV=1</v>
      </c>
      <c r="AL303" t="str">
        <f>HYPERLINK("http://www.uniprot.org/uniprot/Q962S0","6E-033")</f>
        <v>6E-033</v>
      </c>
      <c r="AM303" t="s">
        <v>108</v>
      </c>
      <c r="AN303">
        <v>139</v>
      </c>
      <c r="AO303">
        <v>87</v>
      </c>
      <c r="AP303">
        <v>190</v>
      </c>
      <c r="AQ303">
        <v>76</v>
      </c>
      <c r="AR303">
        <v>46</v>
      </c>
      <c r="AS303">
        <v>21</v>
      </c>
      <c r="AT303">
        <v>0</v>
      </c>
      <c r="AU303">
        <v>103</v>
      </c>
      <c r="AV303">
        <v>2</v>
      </c>
      <c r="AW303">
        <v>1</v>
      </c>
      <c r="AX303" t="s">
        <v>58</v>
      </c>
      <c r="AY303" t="str">
        <f>HYPERLINK(".\links\PREV-RHOD-PEP\TI-502-PREV-RHOD-PEP.txt","Contig17830_55")</f>
        <v>Contig17830_55</v>
      </c>
      <c r="AZ303" s="3">
        <v>4.9999999999999996E-40</v>
      </c>
      <c r="BA303" t="s">
        <v>1024</v>
      </c>
      <c r="BB303">
        <v>159</v>
      </c>
      <c r="BC303">
        <v>87</v>
      </c>
      <c r="BD303">
        <v>193</v>
      </c>
      <c r="BE303">
        <v>88</v>
      </c>
      <c r="BF303">
        <v>46</v>
      </c>
      <c r="BG303">
        <v>10</v>
      </c>
      <c r="BH303">
        <v>0</v>
      </c>
      <c r="BI303">
        <v>106</v>
      </c>
      <c r="BJ303">
        <v>2</v>
      </c>
      <c r="BK303">
        <v>1</v>
      </c>
      <c r="BL303" t="s">
        <v>512</v>
      </c>
      <c r="BM303">
        <f>HYPERLINK(".\links\GO\TI-502-GO.txt",6E-29)</f>
        <v>6.0000000000000005E-29</v>
      </c>
      <c r="BN303" t="s">
        <v>373</v>
      </c>
      <c r="BO303" t="s">
        <v>373</v>
      </c>
      <c r="BP303"/>
      <c r="BQ303" t="s">
        <v>374</v>
      </c>
      <c r="BR303" s="3">
        <v>6.0000000000000005E-29</v>
      </c>
      <c r="BS303" t="s">
        <v>513</v>
      </c>
      <c r="BT303" t="s">
        <v>477</v>
      </c>
      <c r="BU303" t="s">
        <v>477</v>
      </c>
      <c r="BV303" t="s">
        <v>514</v>
      </c>
      <c r="BW303" s="3">
        <v>6.0000000000000005E-29</v>
      </c>
      <c r="BX303" t="s">
        <v>515</v>
      </c>
      <c r="BY303" t="s">
        <v>373</v>
      </c>
      <c r="BZ303"/>
      <c r="CA303" t="s">
        <v>516</v>
      </c>
      <c r="CB303" s="3">
        <v>6.0000000000000005E-29</v>
      </c>
      <c r="CC303" t="s">
        <v>8</v>
      </c>
      <c r="CD303"/>
      <c r="CE303"/>
      <c r="CF303" t="s">
        <v>8</v>
      </c>
      <c r="CG303"/>
      <c r="CH303"/>
      <c r="CI303" t="s">
        <v>8</v>
      </c>
      <c r="CJ303"/>
      <c r="CK303" t="s">
        <v>8</v>
      </c>
      <c r="CL303"/>
      <c r="CM303" t="s">
        <v>8</v>
      </c>
      <c r="CN303"/>
      <c r="CO303" t="s">
        <v>8</v>
      </c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 t="s">
        <v>8</v>
      </c>
      <c r="DD303"/>
      <c r="DE303"/>
      <c r="DF303"/>
      <c r="DG303"/>
      <c r="DH303"/>
      <c r="DI303"/>
      <c r="DJ303"/>
      <c r="DK303"/>
      <c r="DL303"/>
      <c r="DM303"/>
      <c r="DN303"/>
      <c r="DO303"/>
      <c r="DP303"/>
    </row>
    <row r="304" spans="1:120" s="5" customFormat="1">
      <c r="A304" s="6" t="str">
        <f>HYPERLINK(".\links\pep\TI-505-pep.txt","TI-505")</f>
        <v>TI-505</v>
      </c>
      <c r="B304" s="6">
        <v>505</v>
      </c>
      <c r="C304" s="6" t="s">
        <v>27</v>
      </c>
      <c r="D304" s="6">
        <v>26</v>
      </c>
      <c r="E304" s="6">
        <v>0</v>
      </c>
      <c r="F304" s="6" t="str">
        <f>HYPERLINK(".\links\cds\TI-505-cds.txt","TI-505")</f>
        <v>TI-505</v>
      </c>
      <c r="G304" s="6">
        <v>81</v>
      </c>
      <c r="H304" s="6"/>
      <c r="I304" s="6" t="s">
        <v>8</v>
      </c>
      <c r="J304" s="6" t="s">
        <v>6</v>
      </c>
      <c r="K304" s="6">
        <v>0</v>
      </c>
      <c r="L304" s="6">
        <v>1</v>
      </c>
      <c r="M304" s="6">
        <f t="shared" si="16"/>
        <v>-1</v>
      </c>
      <c r="N304" s="6">
        <f t="shared" si="17"/>
        <v>1</v>
      </c>
      <c r="O304" s="6" t="s">
        <v>1170</v>
      </c>
      <c r="P304" s="6" t="s">
        <v>1171</v>
      </c>
      <c r="Q304" s="6"/>
      <c r="R304" s="6"/>
      <c r="S304" s="6"/>
      <c r="T304" s="6" t="s">
        <v>8</v>
      </c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 t="s">
        <v>8</v>
      </c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 t="s">
        <v>8</v>
      </c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 t="s">
        <v>8</v>
      </c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 t="s">
        <v>8</v>
      </c>
      <c r="CD304" s="6"/>
      <c r="CE304" s="6"/>
      <c r="CF304" s="6" t="s">
        <v>8</v>
      </c>
      <c r="CG304" s="6"/>
      <c r="CH304" s="6"/>
      <c r="CI304" s="6" t="s">
        <v>8</v>
      </c>
      <c r="CJ304" s="6"/>
      <c r="CK304" s="6" t="s">
        <v>8</v>
      </c>
      <c r="CL304" s="6"/>
      <c r="CM304" s="6" t="s">
        <v>8</v>
      </c>
      <c r="CN304" s="6"/>
      <c r="CO304" s="6" t="s">
        <v>8</v>
      </c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 t="s">
        <v>8</v>
      </c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</row>
    <row r="305" spans="1:120" s="5" customFormat="1">
      <c r="A305" t="str">
        <f>HYPERLINK(".\links\pep\TI-506-pep.txt","TI-506")</f>
        <v>TI-506</v>
      </c>
      <c r="B305">
        <v>506</v>
      </c>
      <c r="C305" t="s">
        <v>7</v>
      </c>
      <c r="D305">
        <v>146</v>
      </c>
      <c r="E305">
        <v>0</v>
      </c>
      <c r="F305" t="str">
        <f>HYPERLINK(".\links\cds\TI-506-cds.txt","TI-506")</f>
        <v>TI-506</v>
      </c>
      <c r="G305">
        <v>441</v>
      </c>
      <c r="H305"/>
      <c r="I305" t="s">
        <v>29</v>
      </c>
      <c r="J305" t="s">
        <v>6</v>
      </c>
      <c r="K305">
        <v>0</v>
      </c>
      <c r="L305">
        <v>1</v>
      </c>
      <c r="M305">
        <f t="shared" si="16"/>
        <v>-1</v>
      </c>
      <c r="N305">
        <f t="shared" si="17"/>
        <v>1</v>
      </c>
      <c r="O305" t="s">
        <v>1345</v>
      </c>
      <c r="P305" t="s">
        <v>1178</v>
      </c>
      <c r="Q305" t="str">
        <f>HYPERLINK(".\links\NR-LIGHT\TI-506-NR-LIGHT.txt","NR-LIGHT")</f>
        <v>NR-LIGHT</v>
      </c>
      <c r="R305">
        <v>9.9999999999999994E-12</v>
      </c>
      <c r="S305">
        <v>40</v>
      </c>
      <c r="T305" t="str">
        <f>HYPERLINK(".\links\NR-LIGHT\TI-506-NR-LIGHT.txt","similar to nucleoporin 50kDa")</f>
        <v>similar to nucleoporin 50kDa</v>
      </c>
      <c r="U305" t="str">
        <f>HYPERLINK("http://www.ncbi.nlm.nih.gov/sutils/blink.cgi?pid=91081011","1E-011")</f>
        <v>1E-011</v>
      </c>
      <c r="V305" t="str">
        <f>HYPERLINK("http://www.ncbi.nlm.nih.gov/protein/91081011","gi|91081011")</f>
        <v>gi|91081011</v>
      </c>
      <c r="W305">
        <v>70.900000000000006</v>
      </c>
      <c r="X305">
        <v>126</v>
      </c>
      <c r="Y305">
        <v>365</v>
      </c>
      <c r="Z305">
        <v>37</v>
      </c>
      <c r="AA305">
        <v>35</v>
      </c>
      <c r="AB305">
        <v>91</v>
      </c>
      <c r="AC305">
        <v>23</v>
      </c>
      <c r="AD305">
        <v>1</v>
      </c>
      <c r="AE305">
        <v>1</v>
      </c>
      <c r="AF305">
        <v>1</v>
      </c>
      <c r="AG305"/>
      <c r="AH305" t="s">
        <v>13</v>
      </c>
      <c r="AI305" t="s">
        <v>51</v>
      </c>
      <c r="AJ305" t="s">
        <v>266</v>
      </c>
      <c r="AK305" t="s">
        <v>8</v>
      </c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 t="str">
        <f>HYPERLINK(".\links\PREV-RHOD-PEP\TI-506-PREV-RHOD-PEP.txt","Contig17350_13")</f>
        <v>Contig17350_13</v>
      </c>
      <c r="AZ305" s="3">
        <v>1.9999999999999999E-49</v>
      </c>
      <c r="BA305" t="s">
        <v>1153</v>
      </c>
      <c r="BB305">
        <v>190</v>
      </c>
      <c r="BC305">
        <v>145</v>
      </c>
      <c r="BD305">
        <v>426</v>
      </c>
      <c r="BE305">
        <v>67</v>
      </c>
      <c r="BF305">
        <v>34</v>
      </c>
      <c r="BG305">
        <v>48</v>
      </c>
      <c r="BH305">
        <v>0</v>
      </c>
      <c r="BI305">
        <v>1</v>
      </c>
      <c r="BJ305">
        <v>1</v>
      </c>
      <c r="BK305">
        <v>1</v>
      </c>
      <c r="BL305" t="s">
        <v>8</v>
      </c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 t="s">
        <v>8</v>
      </c>
      <c r="CD305"/>
      <c r="CE305"/>
      <c r="CF305" t="s">
        <v>8</v>
      </c>
      <c r="CG305"/>
      <c r="CH305"/>
      <c r="CI305" t="s">
        <v>8</v>
      </c>
      <c r="CJ305"/>
      <c r="CK305" t="s">
        <v>8</v>
      </c>
      <c r="CL305"/>
      <c r="CM305" t="s">
        <v>8</v>
      </c>
      <c r="CN305"/>
      <c r="CO305" t="s">
        <v>8</v>
      </c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 t="s">
        <v>8</v>
      </c>
      <c r="DD305"/>
      <c r="DE305"/>
      <c r="DF305"/>
      <c r="DG305"/>
      <c r="DH305"/>
      <c r="DI305"/>
      <c r="DJ305"/>
      <c r="DK305"/>
      <c r="DL305"/>
      <c r="DM305"/>
      <c r="DN305"/>
      <c r="DO305"/>
      <c r="DP305"/>
    </row>
    <row r="306" spans="1:120" s="5" customFormat="1">
      <c r="A306" t="str">
        <f>HYPERLINK(".\links\pep\TI-508-pep.txt","TI-508")</f>
        <v>TI-508</v>
      </c>
      <c r="B306">
        <v>508</v>
      </c>
      <c r="C306" t="s">
        <v>7</v>
      </c>
      <c r="D306">
        <v>105</v>
      </c>
      <c r="E306" s="2">
        <v>4.7619049999999996</v>
      </c>
      <c r="F306" t="str">
        <f>HYPERLINK(".\links\cds\TI-508-cds.txt","TI-508")</f>
        <v>TI-508</v>
      </c>
      <c r="G306">
        <v>318</v>
      </c>
      <c r="H306"/>
      <c r="I306" t="s">
        <v>29</v>
      </c>
      <c r="J306" t="s">
        <v>6</v>
      </c>
      <c r="K306">
        <v>1</v>
      </c>
      <c r="L306">
        <v>0</v>
      </c>
      <c r="M306">
        <f t="shared" si="16"/>
        <v>1</v>
      </c>
      <c r="N306">
        <f t="shared" si="17"/>
        <v>1</v>
      </c>
      <c r="O306" t="s">
        <v>1346</v>
      </c>
      <c r="P306" t="s">
        <v>1178</v>
      </c>
      <c r="Q306" t="str">
        <f>HYPERLINK(".\links\NR-LIGHT\TI-508-NR-LIGHT.txt","NR-LIGHT")</f>
        <v>NR-LIGHT</v>
      </c>
      <c r="R306" s="3">
        <v>3.0000000000000002E-44</v>
      </c>
      <c r="S306">
        <v>100</v>
      </c>
      <c r="T306" t="str">
        <f>HYPERLINK(".\links\NR-LIGHT\TI-508-NR-LIGHT.txt","thioredoxin")</f>
        <v>thioredoxin</v>
      </c>
      <c r="U306" t="str">
        <f>HYPERLINK("http://www.ncbi.nlm.nih.gov/sutils/blink.cgi?pid=307095132","3E-044")</f>
        <v>3E-044</v>
      </c>
      <c r="V306" t="str">
        <f>HYPERLINK("http://www.ncbi.nlm.nih.gov/protein/307095132","gi|307095132")</f>
        <v>gi|307095132</v>
      </c>
      <c r="W306">
        <v>179</v>
      </c>
      <c r="X306">
        <v>104</v>
      </c>
      <c r="Y306">
        <v>105</v>
      </c>
      <c r="Z306">
        <v>86</v>
      </c>
      <c r="AA306">
        <v>100</v>
      </c>
      <c r="AB306">
        <v>14</v>
      </c>
      <c r="AC306">
        <v>0</v>
      </c>
      <c r="AD306">
        <v>1</v>
      </c>
      <c r="AE306">
        <v>1</v>
      </c>
      <c r="AF306">
        <v>1</v>
      </c>
      <c r="AG306"/>
      <c r="AH306" t="s">
        <v>13</v>
      </c>
      <c r="AI306" t="s">
        <v>51</v>
      </c>
      <c r="AJ306" t="s">
        <v>278</v>
      </c>
      <c r="AK306" t="str">
        <f>HYPERLINK(".\links\SWISSP\TI-508-SWISSP.txt","Thioredoxin-2 OS=Drosophila yakuba GN=Trx-2 PE=3 SV=1")</f>
        <v>Thioredoxin-2 OS=Drosophila yakuba GN=Trx-2 PE=3 SV=1</v>
      </c>
      <c r="AL306" t="str">
        <f>HYPERLINK("http://www.uniprot.org/uniprot/Q6XHI1","7E-023")</f>
        <v>7E-023</v>
      </c>
      <c r="AM306" t="s">
        <v>78</v>
      </c>
      <c r="AN306">
        <v>105</v>
      </c>
      <c r="AO306">
        <v>101</v>
      </c>
      <c r="AP306">
        <v>106</v>
      </c>
      <c r="AQ306">
        <v>50</v>
      </c>
      <c r="AR306">
        <v>96</v>
      </c>
      <c r="AS306">
        <v>50</v>
      </c>
      <c r="AT306">
        <v>1</v>
      </c>
      <c r="AU306">
        <v>1</v>
      </c>
      <c r="AV306">
        <v>1</v>
      </c>
      <c r="AW306">
        <v>1</v>
      </c>
      <c r="AX306" t="s">
        <v>79</v>
      </c>
      <c r="AY306" t="str">
        <f>HYPERLINK(".\links\PREV-RHOD-PEP\TI-508-PREV-RHOD-PEP.txt","Contig17970_682")</f>
        <v>Contig17970_682</v>
      </c>
      <c r="AZ306" s="3">
        <v>7.9999999999999999E-45</v>
      </c>
      <c r="BA306" t="s">
        <v>1003</v>
      </c>
      <c r="BB306">
        <v>174</v>
      </c>
      <c r="BC306">
        <v>94</v>
      </c>
      <c r="BD306">
        <v>433</v>
      </c>
      <c r="BE306">
        <v>88</v>
      </c>
      <c r="BF306">
        <v>22</v>
      </c>
      <c r="BG306">
        <v>11</v>
      </c>
      <c r="BH306">
        <v>0</v>
      </c>
      <c r="BI306">
        <v>9</v>
      </c>
      <c r="BJ306">
        <v>10</v>
      </c>
      <c r="BK306">
        <v>1</v>
      </c>
      <c r="BL306" t="s">
        <v>412</v>
      </c>
      <c r="BM306">
        <f>HYPERLINK(".\links\GO\TI-508-GO.txt",1E-22)</f>
        <v>1E-22</v>
      </c>
      <c r="BN306" t="s">
        <v>413</v>
      </c>
      <c r="BO306" t="s">
        <v>345</v>
      </c>
      <c r="BP306" t="s">
        <v>368</v>
      </c>
      <c r="BQ306" t="s">
        <v>414</v>
      </c>
      <c r="BR306" s="3">
        <v>1E-22</v>
      </c>
      <c r="BS306" t="s">
        <v>375</v>
      </c>
      <c r="BT306" t="s">
        <v>375</v>
      </c>
      <c r="BU306"/>
      <c r="BV306" t="s">
        <v>376</v>
      </c>
      <c r="BW306" s="3">
        <v>1E-22</v>
      </c>
      <c r="BX306" t="s">
        <v>370</v>
      </c>
      <c r="BY306" t="s">
        <v>345</v>
      </c>
      <c r="BZ306" t="s">
        <v>368</v>
      </c>
      <c r="CA306" t="s">
        <v>371</v>
      </c>
      <c r="CB306" s="3">
        <v>1E-22</v>
      </c>
      <c r="CC306" t="s">
        <v>8</v>
      </c>
      <c r="CD306"/>
      <c r="CE306"/>
      <c r="CF306" t="s">
        <v>8</v>
      </c>
      <c r="CG306"/>
      <c r="CH306"/>
      <c r="CI306" t="s">
        <v>8</v>
      </c>
      <c r="CJ306"/>
      <c r="CK306" t="s">
        <v>8</v>
      </c>
      <c r="CL306"/>
      <c r="CM306" t="s">
        <v>8</v>
      </c>
      <c r="CN306"/>
      <c r="CO306" t="s">
        <v>8</v>
      </c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 t="s">
        <v>8</v>
      </c>
      <c r="DD306"/>
      <c r="DE306"/>
      <c r="DF306"/>
      <c r="DG306"/>
      <c r="DH306"/>
      <c r="DI306"/>
      <c r="DJ306"/>
      <c r="DK306"/>
      <c r="DL306"/>
      <c r="DM306"/>
      <c r="DN306"/>
      <c r="DO306"/>
      <c r="DP306"/>
    </row>
    <row r="307" spans="1:120" s="5" customFormat="1">
      <c r="A307" s="6" t="str">
        <f>HYPERLINK(".\links\pep\TI-512-pep.txt","TI-512")</f>
        <v>TI-512</v>
      </c>
      <c r="B307" s="6">
        <v>512</v>
      </c>
      <c r="C307" s="6" t="s">
        <v>26</v>
      </c>
      <c r="D307" s="6">
        <v>185</v>
      </c>
      <c r="E307" s="6">
        <v>0</v>
      </c>
      <c r="F307" s="6" t="str">
        <f>HYPERLINK(".\links\cds\TI-512-cds.txt","TI-512")</f>
        <v>TI-512</v>
      </c>
      <c r="G307" s="6">
        <v>554</v>
      </c>
      <c r="H307" s="6"/>
      <c r="I307" s="6" t="s">
        <v>8</v>
      </c>
      <c r="J307" s="6" t="s">
        <v>6</v>
      </c>
      <c r="K307" s="6">
        <v>0</v>
      </c>
      <c r="L307" s="6">
        <v>1</v>
      </c>
      <c r="M307" s="6">
        <f t="shared" si="16"/>
        <v>-1</v>
      </c>
      <c r="N307" s="6">
        <f t="shared" si="17"/>
        <v>1</v>
      </c>
      <c r="O307" s="6" t="s">
        <v>1170</v>
      </c>
      <c r="P307" s="6" t="s">
        <v>1171</v>
      </c>
      <c r="Q307" s="6"/>
      <c r="R307" s="6"/>
      <c r="S307" s="6"/>
      <c r="T307" s="6" t="str">
        <f>HYPERLINK(".\links\NR-LIGHT\TI-512-NR-LIGHT.txt","50 kDa midgut protein")</f>
        <v>50 kDa midgut protein</v>
      </c>
      <c r="U307" s="6" t="str">
        <f>HYPERLINK("http://www.ncbi.nlm.nih.gov/sutils/blink.cgi?pid=157361569","0.006")</f>
        <v>0.006</v>
      </c>
      <c r="V307" s="6" t="str">
        <f>HYPERLINK("http://www.ncbi.nlm.nih.gov/protein/157361569","gi|157361569")</f>
        <v>gi|157361569</v>
      </c>
      <c r="W307" s="6">
        <v>42.7</v>
      </c>
      <c r="X307" s="6">
        <v>102</v>
      </c>
      <c r="Y307" s="6">
        <v>440</v>
      </c>
      <c r="Z307" s="6">
        <v>29</v>
      </c>
      <c r="AA307" s="6">
        <v>23</v>
      </c>
      <c r="AB307" s="6">
        <v>73</v>
      </c>
      <c r="AC307" s="6">
        <v>1</v>
      </c>
      <c r="AD307" s="6">
        <v>263</v>
      </c>
      <c r="AE307" s="6">
        <v>82</v>
      </c>
      <c r="AF307" s="6">
        <v>1</v>
      </c>
      <c r="AG307" s="6"/>
      <c r="AH307" s="6" t="s">
        <v>13</v>
      </c>
      <c r="AI307" s="6" t="s">
        <v>51</v>
      </c>
      <c r="AJ307" s="6" t="s">
        <v>292</v>
      </c>
      <c r="AK307" s="6" t="s">
        <v>8</v>
      </c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 t="str">
        <f>HYPERLINK(".\links\PREV-RHOD-PEP\TI-512-PREV-RHOD-PEP.txt","Contig17934_11")</f>
        <v>Contig17934_11</v>
      </c>
      <c r="AZ307" s="8">
        <v>1E-42</v>
      </c>
      <c r="BA307" s="6" t="s">
        <v>1154</v>
      </c>
      <c r="BB307" s="6">
        <v>168</v>
      </c>
      <c r="BC307" s="6">
        <v>167</v>
      </c>
      <c r="BD307" s="6">
        <v>269</v>
      </c>
      <c r="BE307" s="6">
        <v>50</v>
      </c>
      <c r="BF307" s="6">
        <v>62</v>
      </c>
      <c r="BG307" s="6">
        <v>83</v>
      </c>
      <c r="BH307" s="6">
        <v>0</v>
      </c>
      <c r="BI307" s="6">
        <v>13</v>
      </c>
      <c r="BJ307" s="6">
        <v>18</v>
      </c>
      <c r="BK307" s="6">
        <v>1</v>
      </c>
      <c r="BL307" s="6" t="s">
        <v>8</v>
      </c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 t="s">
        <v>8</v>
      </c>
      <c r="CD307" s="6"/>
      <c r="CE307" s="6"/>
      <c r="CF307" s="6" t="s">
        <v>8</v>
      </c>
      <c r="CG307" s="6"/>
      <c r="CH307" s="6"/>
      <c r="CI307" s="6" t="s">
        <v>8</v>
      </c>
      <c r="CJ307" s="6"/>
      <c r="CK307" s="6" t="s">
        <v>8</v>
      </c>
      <c r="CL307" s="6"/>
      <c r="CM307" s="6" t="s">
        <v>8</v>
      </c>
      <c r="CN307" s="6"/>
      <c r="CO307" s="6" t="s">
        <v>8</v>
      </c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 t="s">
        <v>8</v>
      </c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</row>
    <row r="308" spans="1:120" s="5" customFormat="1">
      <c r="A308" s="6" t="str">
        <f>HYPERLINK(".\links\pep\TI-515-pep.txt","TI-515")</f>
        <v>TI-515</v>
      </c>
      <c r="B308" s="6">
        <v>515</v>
      </c>
      <c r="C308" s="6" t="s">
        <v>26</v>
      </c>
      <c r="D308" s="6">
        <v>123</v>
      </c>
      <c r="E308" s="6">
        <v>0</v>
      </c>
      <c r="F308" s="6" t="str">
        <f>HYPERLINK(".\links\cds\TI-515-cds.txt","TI-515")</f>
        <v>TI-515</v>
      </c>
      <c r="G308" s="6">
        <v>372</v>
      </c>
      <c r="H308" s="6"/>
      <c r="I308" s="6" t="s">
        <v>8</v>
      </c>
      <c r="J308" s="6" t="s">
        <v>6</v>
      </c>
      <c r="K308" s="6">
        <v>0</v>
      </c>
      <c r="L308" s="6">
        <v>1</v>
      </c>
      <c r="M308" s="6">
        <f t="shared" si="16"/>
        <v>-1</v>
      </c>
      <c r="N308" s="6">
        <f t="shared" si="17"/>
        <v>1</v>
      </c>
      <c r="O308" s="6" t="s">
        <v>1170</v>
      </c>
      <c r="P308" s="6" t="s">
        <v>1171</v>
      </c>
      <c r="Q308" s="6"/>
      <c r="R308" s="6"/>
      <c r="S308" s="6"/>
      <c r="T308" s="6" t="str">
        <f>HYPERLINK(".\links\NR-LIGHT\TI-515-NR-LIGHT.txt","sister chromatid cohesion protein PDS5 homolog B-B-like")</f>
        <v>sister chromatid cohesion protein PDS5 homolog B-B-like</v>
      </c>
      <c r="U308" s="6" t="str">
        <f>HYPERLINK("http://www.ncbi.nlm.nih.gov/sutils/blink.cgi?pid=193603334","0.85")</f>
        <v>0.85</v>
      </c>
      <c r="V308" s="6" t="str">
        <f>HYPERLINK("http://www.ncbi.nlm.nih.gov/protein/193603334","gi|193603334")</f>
        <v>gi|193603334</v>
      </c>
      <c r="W308" s="6">
        <v>34.700000000000003</v>
      </c>
      <c r="X308" s="6">
        <v>68</v>
      </c>
      <c r="Y308" s="6">
        <v>1203</v>
      </c>
      <c r="Z308" s="6">
        <v>36</v>
      </c>
      <c r="AA308" s="6">
        <v>6</v>
      </c>
      <c r="AB308" s="6">
        <v>46</v>
      </c>
      <c r="AC308" s="6">
        <v>4</v>
      </c>
      <c r="AD308" s="6">
        <v>723</v>
      </c>
      <c r="AE308" s="6">
        <v>41</v>
      </c>
      <c r="AF308" s="6">
        <v>1</v>
      </c>
      <c r="AG308" s="6"/>
      <c r="AH308" s="6" t="s">
        <v>13</v>
      </c>
      <c r="AI308" s="6" t="s">
        <v>51</v>
      </c>
      <c r="AJ308" s="6" t="s">
        <v>264</v>
      </c>
      <c r="AK308" s="6" t="s">
        <v>8</v>
      </c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 t="str">
        <f>HYPERLINK(".\links\PREV-RHOD-PEP\TI-515-PREV-RHOD-PEP.txt","Contig7471_2")</f>
        <v>Contig7471_2</v>
      </c>
      <c r="AZ308" s="8">
        <v>3.9999999999999997E-24</v>
      </c>
      <c r="BA308" s="6" t="s">
        <v>1069</v>
      </c>
      <c r="BB308" s="6">
        <v>106</v>
      </c>
      <c r="BC308" s="6">
        <v>127</v>
      </c>
      <c r="BD308" s="6">
        <v>410</v>
      </c>
      <c r="BE308" s="6">
        <v>42</v>
      </c>
      <c r="BF308" s="6">
        <v>31</v>
      </c>
      <c r="BG308" s="6">
        <v>74</v>
      </c>
      <c r="BH308" s="6">
        <v>8</v>
      </c>
      <c r="BI308" s="6">
        <v>235</v>
      </c>
      <c r="BJ308" s="6">
        <v>3</v>
      </c>
      <c r="BK308" s="6">
        <v>1</v>
      </c>
      <c r="BL308" s="6" t="s">
        <v>8</v>
      </c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 t="s">
        <v>8</v>
      </c>
      <c r="CD308" s="6"/>
      <c r="CE308" s="6"/>
      <c r="CF308" s="6" t="s">
        <v>8</v>
      </c>
      <c r="CG308" s="6"/>
      <c r="CH308" s="6"/>
      <c r="CI308" s="6" t="s">
        <v>8</v>
      </c>
      <c r="CJ308" s="6"/>
      <c r="CK308" s="6" t="s">
        <v>8</v>
      </c>
      <c r="CL308" s="6"/>
      <c r="CM308" s="6" t="s">
        <v>8</v>
      </c>
      <c r="CN308" s="6"/>
      <c r="CO308" s="6" t="s">
        <v>8</v>
      </c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 t="s">
        <v>8</v>
      </c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</row>
    <row r="309" spans="1:120" s="5" customFormat="1">
      <c r="A309" s="6" t="str">
        <f>HYPERLINK(".\links\pep\TI-517-pep.txt","TI-517")</f>
        <v>TI-517</v>
      </c>
      <c r="B309" s="6">
        <v>517</v>
      </c>
      <c r="C309" s="6" t="s">
        <v>14</v>
      </c>
      <c r="D309" s="6">
        <v>67</v>
      </c>
      <c r="E309" s="7">
        <v>58.208950000000002</v>
      </c>
      <c r="F309" s="6" t="str">
        <f>HYPERLINK(".\links\cds\TI-517-cds.txt","TI-517")</f>
        <v>TI-517</v>
      </c>
      <c r="G309" s="6">
        <v>204</v>
      </c>
      <c r="H309" s="6" t="s">
        <v>24</v>
      </c>
      <c r="I309" s="6" t="s">
        <v>8</v>
      </c>
      <c r="J309" s="6" t="s">
        <v>6</v>
      </c>
      <c r="K309" s="6">
        <v>0</v>
      </c>
      <c r="L309" s="6">
        <v>1</v>
      </c>
      <c r="M309" s="6">
        <f t="shared" si="16"/>
        <v>-1</v>
      </c>
      <c r="N309" s="6">
        <f t="shared" si="17"/>
        <v>1</v>
      </c>
      <c r="O309" s="6" t="s">
        <v>1170</v>
      </c>
      <c r="P309" s="6" t="s">
        <v>1171</v>
      </c>
      <c r="Q309" s="6"/>
      <c r="R309" s="6"/>
      <c r="S309" s="6"/>
      <c r="T309" s="6" t="s">
        <v>8</v>
      </c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 t="s">
        <v>8</v>
      </c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 t="s">
        <v>8</v>
      </c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 t="s">
        <v>8</v>
      </c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 t="s">
        <v>8</v>
      </c>
      <c r="CD309" s="6"/>
      <c r="CE309" s="6"/>
      <c r="CF309" s="6" t="s">
        <v>8</v>
      </c>
      <c r="CG309" s="6"/>
      <c r="CH309" s="6"/>
      <c r="CI309" s="6" t="s">
        <v>8</v>
      </c>
      <c r="CJ309" s="6"/>
      <c r="CK309" s="6" t="s">
        <v>8</v>
      </c>
      <c r="CL309" s="6"/>
      <c r="CM309" s="6" t="s">
        <v>8</v>
      </c>
      <c r="CN309" s="6"/>
      <c r="CO309" s="6" t="s">
        <v>8</v>
      </c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 t="s">
        <v>8</v>
      </c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</row>
    <row r="310" spans="1:120" s="5" customFormat="1">
      <c r="A310" s="6" t="str">
        <f>HYPERLINK(".\links\pep\TI-518-pep.txt","TI-518")</f>
        <v>TI-518</v>
      </c>
      <c r="B310" s="6">
        <v>518</v>
      </c>
      <c r="C310" s="6" t="s">
        <v>13</v>
      </c>
      <c r="D310" s="6">
        <v>35</v>
      </c>
      <c r="E310" s="6">
        <v>0</v>
      </c>
      <c r="F310" s="6" t="str">
        <f>HYPERLINK(".\links\cds\TI-518-cds.txt","TI-518")</f>
        <v>TI-518</v>
      </c>
      <c r="G310" s="6">
        <v>108</v>
      </c>
      <c r="H310" s="6"/>
      <c r="I310" s="6" t="s">
        <v>8</v>
      </c>
      <c r="J310" s="6" t="s">
        <v>6</v>
      </c>
      <c r="K310" s="6">
        <v>0</v>
      </c>
      <c r="L310" s="6">
        <v>1</v>
      </c>
      <c r="M310" s="6">
        <f t="shared" si="16"/>
        <v>-1</v>
      </c>
      <c r="N310" s="6">
        <f t="shared" si="17"/>
        <v>1</v>
      </c>
      <c r="O310" s="6" t="s">
        <v>1170</v>
      </c>
      <c r="P310" s="6" t="s">
        <v>1171</v>
      </c>
      <c r="Q310" s="6"/>
      <c r="R310" s="6"/>
      <c r="S310" s="6"/>
      <c r="T310" s="6" t="s">
        <v>8</v>
      </c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 t="s">
        <v>8</v>
      </c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 t="s">
        <v>8</v>
      </c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 t="s">
        <v>8</v>
      </c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 t="s">
        <v>8</v>
      </c>
      <c r="CD310" s="6"/>
      <c r="CE310" s="6"/>
      <c r="CF310" s="6" t="s">
        <v>8</v>
      </c>
      <c r="CG310" s="6"/>
      <c r="CH310" s="6"/>
      <c r="CI310" s="6" t="s">
        <v>8</v>
      </c>
      <c r="CJ310" s="6"/>
      <c r="CK310" s="6" t="s">
        <v>8</v>
      </c>
      <c r="CL310" s="6"/>
      <c r="CM310" s="6" t="s">
        <v>8</v>
      </c>
      <c r="CN310" s="6"/>
      <c r="CO310" s="6" t="s">
        <v>8</v>
      </c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 t="s">
        <v>8</v>
      </c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</row>
    <row r="311" spans="1:120" s="5" customFormat="1">
      <c r="A311" t="str">
        <f>HYPERLINK(".\links\pep\TI-519-pep.txt","TI-519")</f>
        <v>TI-519</v>
      </c>
      <c r="B311">
        <v>519</v>
      </c>
      <c r="C311" t="s">
        <v>19</v>
      </c>
      <c r="D311">
        <v>222</v>
      </c>
      <c r="E311">
        <v>0</v>
      </c>
      <c r="F311" t="str">
        <f>HYPERLINK(".\links\cds\TI-519-cds.txt","TI-519")</f>
        <v>TI-519</v>
      </c>
      <c r="G311">
        <v>663</v>
      </c>
      <c r="H311"/>
      <c r="I311" t="s">
        <v>8</v>
      </c>
      <c r="J311" t="s">
        <v>8</v>
      </c>
      <c r="K311">
        <v>0</v>
      </c>
      <c r="L311">
        <v>1</v>
      </c>
      <c r="M311">
        <f t="shared" si="16"/>
        <v>-1</v>
      </c>
      <c r="N311">
        <f t="shared" si="17"/>
        <v>1</v>
      </c>
      <c r="O311" t="s">
        <v>1231</v>
      </c>
      <c r="P311" t="s">
        <v>1180</v>
      </c>
      <c r="Q311" t="str">
        <f>HYPERLINK(".\links\NR-LIGHT\TI-519-NR-LIGHT.txt","NR-LIGHT")</f>
        <v>NR-LIGHT</v>
      </c>
      <c r="R311">
        <v>4.0000000000000001E-13</v>
      </c>
      <c r="S311">
        <v>12.9</v>
      </c>
      <c r="T311" t="str">
        <f>HYPERLINK(".\links\NR-LIGHT\TI-519-NR-LIGHT.txt","reverse transcriptase")</f>
        <v>reverse transcriptase</v>
      </c>
      <c r="U311" t="str">
        <f>HYPERLINK("http://www.ncbi.nlm.nih.gov/sutils/blink.cgi?pid=40457592","4E-013")</f>
        <v>4E-013</v>
      </c>
      <c r="V311" t="str">
        <f>HYPERLINK("http://www.ncbi.nlm.nih.gov/protein/40457592","gi|40457592")</f>
        <v>gi|40457592</v>
      </c>
      <c r="W311">
        <v>77</v>
      </c>
      <c r="X311">
        <v>110</v>
      </c>
      <c r="Y311">
        <v>857</v>
      </c>
      <c r="Z311">
        <v>39</v>
      </c>
      <c r="AA311">
        <v>13</v>
      </c>
      <c r="AB311">
        <v>67</v>
      </c>
      <c r="AC311">
        <v>0</v>
      </c>
      <c r="AD311">
        <v>277</v>
      </c>
      <c r="AE311">
        <v>86</v>
      </c>
      <c r="AF311">
        <v>1</v>
      </c>
      <c r="AG311"/>
      <c r="AH311" t="s">
        <v>13</v>
      </c>
      <c r="AI311" t="s">
        <v>51</v>
      </c>
      <c r="AJ311" t="s">
        <v>52</v>
      </c>
      <c r="AK311" t="s">
        <v>8</v>
      </c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 t="s">
        <v>8</v>
      </c>
      <c r="AZ311"/>
      <c r="BA311"/>
      <c r="BB311"/>
      <c r="BC311"/>
      <c r="BD311"/>
      <c r="BE311"/>
      <c r="BF311"/>
      <c r="BG311"/>
      <c r="BH311"/>
      <c r="BI311"/>
      <c r="BJ311"/>
      <c r="BK311"/>
      <c r="BL311" t="s">
        <v>8</v>
      </c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 t="s">
        <v>8</v>
      </c>
      <c r="CD311"/>
      <c r="CE311"/>
      <c r="CF311" t="s">
        <v>8</v>
      </c>
      <c r="CG311"/>
      <c r="CH311"/>
      <c r="CI311" t="s">
        <v>8</v>
      </c>
      <c r="CJ311"/>
      <c r="CK311" t="s">
        <v>8</v>
      </c>
      <c r="CL311"/>
      <c r="CM311" t="s">
        <v>8</v>
      </c>
      <c r="CN311"/>
      <c r="CO311" t="s">
        <v>8</v>
      </c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 t="s">
        <v>8</v>
      </c>
      <c r="DD311"/>
      <c r="DE311"/>
      <c r="DF311"/>
      <c r="DG311"/>
      <c r="DH311"/>
      <c r="DI311"/>
      <c r="DJ311"/>
      <c r="DK311"/>
      <c r="DL311"/>
      <c r="DM311"/>
      <c r="DN311"/>
      <c r="DO311"/>
      <c r="DP311"/>
    </row>
    <row r="312" spans="1:120" s="5" customFormat="1">
      <c r="A312" s="6" t="str">
        <f>HYPERLINK(".\links\pep\TI-520-pep.txt","TI-520")</f>
        <v>TI-520</v>
      </c>
      <c r="B312" s="6">
        <v>520</v>
      </c>
      <c r="C312" s="6" t="s">
        <v>12</v>
      </c>
      <c r="D312" s="6">
        <v>32</v>
      </c>
      <c r="E312" s="6">
        <v>0</v>
      </c>
      <c r="F312" s="6" t="str">
        <f>HYPERLINK(".\links\cds\TI-520-cds.txt","TI-520")</f>
        <v>TI-520</v>
      </c>
      <c r="G312" s="6">
        <v>99</v>
      </c>
      <c r="H312" s="6"/>
      <c r="I312" s="6" t="s">
        <v>8</v>
      </c>
      <c r="J312" s="6" t="s">
        <v>6</v>
      </c>
      <c r="K312" s="6">
        <v>1</v>
      </c>
      <c r="L312" s="6">
        <v>0</v>
      </c>
      <c r="M312" s="6">
        <f t="shared" si="16"/>
        <v>1</v>
      </c>
      <c r="N312" s="6">
        <f t="shared" si="17"/>
        <v>1</v>
      </c>
      <c r="O312" s="6" t="s">
        <v>1170</v>
      </c>
      <c r="P312" s="6" t="s">
        <v>1171</v>
      </c>
      <c r="Q312" s="6"/>
      <c r="R312" s="6"/>
      <c r="S312" s="6"/>
      <c r="T312" s="6" t="s">
        <v>8</v>
      </c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 t="s">
        <v>8</v>
      </c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 t="s">
        <v>8</v>
      </c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 t="s">
        <v>8</v>
      </c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 t="s">
        <v>8</v>
      </c>
      <c r="CD312" s="6"/>
      <c r="CE312" s="6"/>
      <c r="CF312" s="6" t="s">
        <v>8</v>
      </c>
      <c r="CG312" s="6"/>
      <c r="CH312" s="6"/>
      <c r="CI312" s="6" t="s">
        <v>8</v>
      </c>
      <c r="CJ312" s="6"/>
      <c r="CK312" s="6" t="s">
        <v>8</v>
      </c>
      <c r="CL312" s="6"/>
      <c r="CM312" s="6" t="s">
        <v>8</v>
      </c>
      <c r="CN312" s="6"/>
      <c r="CO312" s="6" t="s">
        <v>8</v>
      </c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 t="s">
        <v>8</v>
      </c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</row>
    <row r="313" spans="1:120" s="5" customFormat="1">
      <c r="A313" t="str">
        <f>HYPERLINK(".\links\pep\TI-521-pep.txt","TI-521")</f>
        <v>TI-521</v>
      </c>
      <c r="B313">
        <v>521</v>
      </c>
      <c r="C313" t="s">
        <v>20</v>
      </c>
      <c r="D313">
        <v>165</v>
      </c>
      <c r="E313">
        <v>0</v>
      </c>
      <c r="F313" t="str">
        <f>HYPERLINK(".\links\cds\TI-521-cds.txt","TI-521")</f>
        <v>TI-521</v>
      </c>
      <c r="G313">
        <v>492</v>
      </c>
      <c r="H313"/>
      <c r="I313" t="s">
        <v>8</v>
      </c>
      <c r="J313" t="s">
        <v>8</v>
      </c>
      <c r="K313">
        <v>9</v>
      </c>
      <c r="L313">
        <v>8</v>
      </c>
      <c r="M313">
        <f t="shared" si="16"/>
        <v>1</v>
      </c>
      <c r="N313">
        <f t="shared" si="17"/>
        <v>1</v>
      </c>
      <c r="O313" t="s">
        <v>1195</v>
      </c>
      <c r="P313" t="s">
        <v>1196</v>
      </c>
      <c r="Q313" t="str">
        <f>HYPERLINK(".\links\NR-LIGHT\TI-521-NR-LIGHT.txt","NR-LIGHT")</f>
        <v>NR-LIGHT</v>
      </c>
      <c r="R313" s="3">
        <v>2.0000000000000001E-68</v>
      </c>
      <c r="S313">
        <v>8.5</v>
      </c>
      <c r="T313" t="str">
        <f>HYPERLINK(".\links\NR-LIGHT\TI-521-NR-LIGHT.txt","nonstructural protein precursor")</f>
        <v>nonstructural protein precursor</v>
      </c>
      <c r="U313" t="str">
        <f>HYPERLINK("http://www.ncbi.nlm.nih.gov/sutils/blink.cgi?pid=20451029","2E-068")</f>
        <v>2E-068</v>
      </c>
      <c r="V313" t="str">
        <f>HYPERLINK("http://www.ncbi.nlm.nih.gov/protein/20451029","gi|20451029")</f>
        <v>gi|20451029</v>
      </c>
      <c r="W313">
        <v>259</v>
      </c>
      <c r="X313">
        <v>153</v>
      </c>
      <c r="Y313">
        <v>1795</v>
      </c>
      <c r="Z313">
        <v>77</v>
      </c>
      <c r="AA313">
        <v>9</v>
      </c>
      <c r="AB313">
        <v>34</v>
      </c>
      <c r="AC313">
        <v>0</v>
      </c>
      <c r="AD313">
        <v>1</v>
      </c>
      <c r="AE313">
        <v>1</v>
      </c>
      <c r="AF313">
        <v>1</v>
      </c>
      <c r="AG313"/>
      <c r="AH313" t="s">
        <v>13</v>
      </c>
      <c r="AI313" t="s">
        <v>51</v>
      </c>
      <c r="AJ313" t="s">
        <v>269</v>
      </c>
      <c r="AK313" t="s">
        <v>8</v>
      </c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 t="s">
        <v>8</v>
      </c>
      <c r="AZ313"/>
      <c r="BA313"/>
      <c r="BB313"/>
      <c r="BC313"/>
      <c r="BD313"/>
      <c r="BE313"/>
      <c r="BF313"/>
      <c r="BG313"/>
      <c r="BH313"/>
      <c r="BI313"/>
      <c r="BJ313"/>
      <c r="BK313"/>
      <c r="BL313" t="s">
        <v>8</v>
      </c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 t="s">
        <v>8</v>
      </c>
      <c r="CD313"/>
      <c r="CE313"/>
      <c r="CF313" t="s">
        <v>8</v>
      </c>
      <c r="CG313"/>
      <c r="CH313"/>
      <c r="CI313" t="s">
        <v>8</v>
      </c>
      <c r="CJ313"/>
      <c r="CK313" t="s">
        <v>8</v>
      </c>
      <c r="CL313"/>
      <c r="CM313" t="s">
        <v>8</v>
      </c>
      <c r="CN313"/>
      <c r="CO313" t="s">
        <v>8</v>
      </c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 t="s">
        <v>8</v>
      </c>
      <c r="DD313"/>
      <c r="DE313"/>
      <c r="DF313"/>
      <c r="DG313"/>
      <c r="DH313"/>
      <c r="DI313"/>
      <c r="DJ313"/>
      <c r="DK313"/>
      <c r="DL313"/>
      <c r="DM313"/>
      <c r="DN313"/>
      <c r="DO313"/>
      <c r="DP313"/>
    </row>
    <row r="314" spans="1:120" s="5" customFormat="1">
      <c r="A314" s="6" t="str">
        <f>HYPERLINK(".\links\pep\TI-522-pep.txt","TI-522")</f>
        <v>TI-522</v>
      </c>
      <c r="B314" s="6">
        <v>522</v>
      </c>
      <c r="C314" s="6" t="s">
        <v>10</v>
      </c>
      <c r="D314" s="6">
        <v>53</v>
      </c>
      <c r="E314" s="6">
        <v>0</v>
      </c>
      <c r="F314" s="6" t="str">
        <f>HYPERLINK(".\links\cds\TI-522-cds.txt","TI-522")</f>
        <v>TI-522</v>
      </c>
      <c r="G314" s="6">
        <v>162</v>
      </c>
      <c r="H314" s="6"/>
      <c r="I314" s="6" t="s">
        <v>8</v>
      </c>
      <c r="J314" s="6" t="s">
        <v>6</v>
      </c>
      <c r="K314" s="6">
        <v>1</v>
      </c>
      <c r="L314" s="6">
        <v>0</v>
      </c>
      <c r="M314" s="6">
        <f t="shared" si="16"/>
        <v>1</v>
      </c>
      <c r="N314" s="6">
        <f t="shared" si="17"/>
        <v>1</v>
      </c>
      <c r="O314" s="6" t="s">
        <v>1170</v>
      </c>
      <c r="P314" s="6" t="s">
        <v>1171</v>
      </c>
      <c r="Q314" s="6"/>
      <c r="R314" s="6"/>
      <c r="S314" s="6"/>
      <c r="T314" s="6" t="s">
        <v>8</v>
      </c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 t="s">
        <v>8</v>
      </c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 t="s">
        <v>8</v>
      </c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 t="s">
        <v>8</v>
      </c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 t="s">
        <v>8</v>
      </c>
      <c r="CD314" s="6"/>
      <c r="CE314" s="6"/>
      <c r="CF314" s="6" t="s">
        <v>8</v>
      </c>
      <c r="CG314" s="6"/>
      <c r="CH314" s="6"/>
      <c r="CI314" s="6" t="s">
        <v>8</v>
      </c>
      <c r="CJ314" s="6"/>
      <c r="CK314" s="6" t="s">
        <v>8</v>
      </c>
      <c r="CL314" s="6"/>
      <c r="CM314" s="6" t="s">
        <v>8</v>
      </c>
      <c r="CN314" s="6"/>
      <c r="CO314" s="6" t="s">
        <v>8</v>
      </c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 t="s">
        <v>8</v>
      </c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</row>
    <row r="315" spans="1:120" s="5" customFormat="1">
      <c r="A315" s="6" t="str">
        <f>HYPERLINK(".\links\pep\TI-524-pep.txt","TI-524")</f>
        <v>TI-524</v>
      </c>
      <c r="B315" s="6">
        <v>524</v>
      </c>
      <c r="C315" s="6" t="s">
        <v>23</v>
      </c>
      <c r="D315" s="6">
        <v>211</v>
      </c>
      <c r="E315" s="6">
        <v>0</v>
      </c>
      <c r="F315" s="6" t="str">
        <f>HYPERLINK(".\links\cds\TI-524-cds.txt","TI-524")</f>
        <v>TI-524</v>
      </c>
      <c r="G315" s="6">
        <v>636</v>
      </c>
      <c r="H315" s="6"/>
      <c r="I315" s="6" t="s">
        <v>8</v>
      </c>
      <c r="J315" s="6" t="s">
        <v>6</v>
      </c>
      <c r="K315" s="6">
        <v>0</v>
      </c>
      <c r="L315" s="6">
        <v>3</v>
      </c>
      <c r="M315" s="6">
        <f t="shared" si="16"/>
        <v>-3</v>
      </c>
      <c r="N315" s="6">
        <f t="shared" si="17"/>
        <v>3</v>
      </c>
      <c r="O315" s="6" t="s">
        <v>1170</v>
      </c>
      <c r="P315" s="6" t="s">
        <v>1171</v>
      </c>
      <c r="Q315" s="6"/>
      <c r="R315" s="6"/>
      <c r="S315" s="6"/>
      <c r="T315" s="6" t="str">
        <f>HYPERLINK(".\links\NR-LIGHT\TI-524-NR-LIGHT.txt","hypothetical protein")</f>
        <v>hypothetical protein</v>
      </c>
      <c r="U315" s="6" t="str">
        <f>HYPERLINK("http://www.ncbi.nlm.nih.gov/sutils/blink.cgi?pid=156544907","1E-007")</f>
        <v>1E-007</v>
      </c>
      <c r="V315" s="6" t="str">
        <f>HYPERLINK("http://www.ncbi.nlm.nih.gov/protein/156544907","gi|156544907")</f>
        <v>gi|156544907</v>
      </c>
      <c r="W315" s="6">
        <v>58.9</v>
      </c>
      <c r="X315" s="6">
        <v>589</v>
      </c>
      <c r="Y315" s="6">
        <v>1493</v>
      </c>
      <c r="Z315" s="6">
        <v>23</v>
      </c>
      <c r="AA315" s="6">
        <v>40</v>
      </c>
      <c r="AB315" s="6">
        <v>149</v>
      </c>
      <c r="AC315" s="6">
        <v>6</v>
      </c>
      <c r="AD315" s="6">
        <v>898</v>
      </c>
      <c r="AE315" s="6">
        <v>13</v>
      </c>
      <c r="AF315" s="6">
        <v>2</v>
      </c>
      <c r="AG315" s="6"/>
      <c r="AH315" s="6" t="s">
        <v>13</v>
      </c>
      <c r="AI315" s="6" t="s">
        <v>51</v>
      </c>
      <c r="AJ315" s="6" t="s">
        <v>274</v>
      </c>
      <c r="AK315" s="6" t="s">
        <v>8</v>
      </c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 t="str">
        <f>HYPERLINK(".\links\PREV-RHOD-PEP\TI-524-PREV-RHOD-PEP.txt","Contig17849_53")</f>
        <v>Contig17849_53</v>
      </c>
      <c r="AZ315" s="8">
        <v>4E-70</v>
      </c>
      <c r="BA315" s="6" t="s">
        <v>1038</v>
      </c>
      <c r="BB315" s="6">
        <v>260</v>
      </c>
      <c r="BC315" s="6">
        <v>395</v>
      </c>
      <c r="BD315" s="6">
        <v>424</v>
      </c>
      <c r="BE315" s="6">
        <v>58</v>
      </c>
      <c r="BF315" s="6">
        <v>93</v>
      </c>
      <c r="BG315" s="6">
        <v>85</v>
      </c>
      <c r="BH315" s="6">
        <v>0</v>
      </c>
      <c r="BI315" s="6">
        <v>29</v>
      </c>
      <c r="BJ315" s="6">
        <v>9</v>
      </c>
      <c r="BK315" s="6">
        <v>2</v>
      </c>
      <c r="BL315" s="6" t="s">
        <v>8</v>
      </c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 t="s">
        <v>8</v>
      </c>
      <c r="CD315" s="6"/>
      <c r="CE315" s="6"/>
      <c r="CF315" s="6" t="s">
        <v>8</v>
      </c>
      <c r="CG315" s="6"/>
      <c r="CH315" s="6"/>
      <c r="CI315" s="6" t="s">
        <v>8</v>
      </c>
      <c r="CJ315" s="6"/>
      <c r="CK315" s="6" t="s">
        <v>8</v>
      </c>
      <c r="CL315" s="6"/>
      <c r="CM315" s="6" t="s">
        <v>8</v>
      </c>
      <c r="CN315" s="6"/>
      <c r="CO315" s="6" t="s">
        <v>8</v>
      </c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 t="s">
        <v>8</v>
      </c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</row>
    <row r="316" spans="1:120" s="5" customFormat="1">
      <c r="A316" s="6" t="str">
        <f>HYPERLINK(".\links\pep\TI-525-pep.txt","TI-525")</f>
        <v>TI-525</v>
      </c>
      <c r="B316" s="6">
        <v>525</v>
      </c>
      <c r="C316" s="6" t="s">
        <v>23</v>
      </c>
      <c r="D316" s="6">
        <v>217</v>
      </c>
      <c r="E316" s="6">
        <v>0</v>
      </c>
      <c r="F316" s="6" t="str">
        <f>HYPERLINK(".\links\cds\TI-525-cds.txt","TI-525")</f>
        <v>TI-525</v>
      </c>
      <c r="G316" s="6">
        <v>654</v>
      </c>
      <c r="H316" s="6"/>
      <c r="I316" s="6" t="s">
        <v>8</v>
      </c>
      <c r="J316" s="6" t="s">
        <v>6</v>
      </c>
      <c r="K316" s="6">
        <v>3</v>
      </c>
      <c r="L316" s="6">
        <v>4</v>
      </c>
      <c r="M316" s="6">
        <f t="shared" si="16"/>
        <v>-1</v>
      </c>
      <c r="N316" s="6">
        <f t="shared" si="17"/>
        <v>1</v>
      </c>
      <c r="O316" s="6" t="s">
        <v>1170</v>
      </c>
      <c r="P316" s="6" t="s">
        <v>1171</v>
      </c>
      <c r="Q316" s="6"/>
      <c r="R316" s="6"/>
      <c r="S316" s="6"/>
      <c r="T316" s="6" t="str">
        <f>HYPERLINK(".\links\NR-LIGHT\TI-525-NR-LIGHT.txt","hypothetical protein")</f>
        <v>hypothetical protein</v>
      </c>
      <c r="U316" s="6" t="str">
        <f>HYPERLINK("http://www.ncbi.nlm.nih.gov/sutils/blink.cgi?pid=156544907","1E-010")</f>
        <v>1E-010</v>
      </c>
      <c r="V316" s="6" t="str">
        <f>HYPERLINK("http://www.ncbi.nlm.nih.gov/protein/156544907","gi|156544907")</f>
        <v>gi|156544907</v>
      </c>
      <c r="W316" s="6">
        <v>68.900000000000006</v>
      </c>
      <c r="X316" s="6">
        <v>1258</v>
      </c>
      <c r="Y316" s="6">
        <v>1493</v>
      </c>
      <c r="Z316" s="6">
        <v>25</v>
      </c>
      <c r="AA316" s="6">
        <v>84</v>
      </c>
      <c r="AB316" s="6">
        <v>145</v>
      </c>
      <c r="AC316" s="6">
        <v>6</v>
      </c>
      <c r="AD316" s="6">
        <v>229</v>
      </c>
      <c r="AE316" s="6">
        <v>20</v>
      </c>
      <c r="AF316" s="6">
        <v>3</v>
      </c>
      <c r="AG316" s="6"/>
      <c r="AH316" s="6" t="s">
        <v>13</v>
      </c>
      <c r="AI316" s="6" t="s">
        <v>51</v>
      </c>
      <c r="AJ316" s="6" t="s">
        <v>274</v>
      </c>
      <c r="AK316" s="6" t="s">
        <v>8</v>
      </c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 t="str">
        <f>HYPERLINK(".\links\PREV-RHOD-PEP\TI-525-PREV-RHOD-PEP.txt","Contig17849_53")</f>
        <v>Contig17849_53</v>
      </c>
      <c r="AZ316" s="8">
        <v>1.9999999999999999E-75</v>
      </c>
      <c r="BA316" s="6" t="s">
        <v>1038</v>
      </c>
      <c r="BB316" s="6">
        <v>278</v>
      </c>
      <c r="BC316" s="6">
        <v>375</v>
      </c>
      <c r="BD316" s="6">
        <v>424</v>
      </c>
      <c r="BE316" s="6">
        <v>60</v>
      </c>
      <c r="BF316" s="6">
        <v>89</v>
      </c>
      <c r="BG316" s="6">
        <v>80</v>
      </c>
      <c r="BH316" s="6">
        <v>0</v>
      </c>
      <c r="BI316" s="6">
        <v>49</v>
      </c>
      <c r="BJ316" s="6">
        <v>15</v>
      </c>
      <c r="BK316" s="6">
        <v>2</v>
      </c>
      <c r="BL316" s="6" t="s">
        <v>8</v>
      </c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 t="s">
        <v>8</v>
      </c>
      <c r="CD316" s="6"/>
      <c r="CE316" s="6"/>
      <c r="CF316" s="6" t="s">
        <v>8</v>
      </c>
      <c r="CG316" s="6"/>
      <c r="CH316" s="6"/>
      <c r="CI316" s="6" t="s">
        <v>8</v>
      </c>
      <c r="CJ316" s="6"/>
      <c r="CK316" s="6" t="s">
        <v>8</v>
      </c>
      <c r="CL316" s="6"/>
      <c r="CM316" s="6" t="s">
        <v>8</v>
      </c>
      <c r="CN316" s="6"/>
      <c r="CO316" s="6" t="s">
        <v>8</v>
      </c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 t="s">
        <v>8</v>
      </c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</row>
    <row r="317" spans="1:120" s="5" customFormat="1">
      <c r="A317" t="str">
        <f>HYPERLINK(".\links\pep\TI-526-pep.txt","TI-526")</f>
        <v>TI-526</v>
      </c>
      <c r="B317">
        <v>526</v>
      </c>
      <c r="C317" t="s">
        <v>9</v>
      </c>
      <c r="D317">
        <v>196</v>
      </c>
      <c r="E317">
        <v>0</v>
      </c>
      <c r="F317" t="str">
        <f>HYPERLINK(".\links\cds\TI-526-cds.txt","TI-526")</f>
        <v>TI-526</v>
      </c>
      <c r="G317">
        <v>591</v>
      </c>
      <c r="H317"/>
      <c r="I317" t="s">
        <v>8</v>
      </c>
      <c r="J317" t="s">
        <v>6</v>
      </c>
      <c r="K317">
        <v>15</v>
      </c>
      <c r="L317">
        <v>12</v>
      </c>
      <c r="M317">
        <f t="shared" si="16"/>
        <v>3</v>
      </c>
      <c r="N317">
        <f t="shared" si="17"/>
        <v>3</v>
      </c>
      <c r="O317" t="s">
        <v>1227</v>
      </c>
      <c r="P317" t="s">
        <v>1196</v>
      </c>
      <c r="Q317" t="str">
        <f>HYPERLINK(".\links\NR-LIGHT\TI-526-NR-LIGHT.txt","NR-LIGHT")</f>
        <v>NR-LIGHT</v>
      </c>
      <c r="R317">
        <v>0</v>
      </c>
      <c r="S317">
        <v>22.5</v>
      </c>
      <c r="T317" t="str">
        <f>HYPERLINK(".\links\NR-LIGHT\TI-526-NR-LIGHT.txt","capsid protein precursor")</f>
        <v>capsid protein precursor</v>
      </c>
      <c r="U317" t="str">
        <f>HYPERLINK("http://www.ncbi.nlm.nih.gov/sutils/blink.cgi?pid=20451030","1E-109")</f>
        <v>1E-109</v>
      </c>
      <c r="V317" t="str">
        <f>HYPERLINK("http://www.ncbi.nlm.nih.gov/protein/20451030","gi|20451030")</f>
        <v>gi|20451030</v>
      </c>
      <c r="W317">
        <v>397</v>
      </c>
      <c r="X317">
        <v>195</v>
      </c>
      <c r="Y317">
        <v>868</v>
      </c>
      <c r="Z317">
        <v>99</v>
      </c>
      <c r="AA317">
        <v>23</v>
      </c>
      <c r="AB317">
        <v>1</v>
      </c>
      <c r="AC317">
        <v>0</v>
      </c>
      <c r="AD317">
        <v>673</v>
      </c>
      <c r="AE317">
        <v>1</v>
      </c>
      <c r="AF317">
        <v>1</v>
      </c>
      <c r="AG317"/>
      <c r="AH317" t="s">
        <v>13</v>
      </c>
      <c r="AI317" t="s">
        <v>51</v>
      </c>
      <c r="AJ317" t="s">
        <v>269</v>
      </c>
      <c r="AK317" t="str">
        <f>HYPERLINK(".\links\SWISSP\TI-526-SWISSP.txt","Undecaprenyl-diphosphatase OS=Synechococcus sp. (strain CC9311) GN=uppP PE=3")</f>
        <v>Undecaprenyl-diphosphatase OS=Synechococcus sp. (strain CC9311) GN=uppP PE=3</v>
      </c>
      <c r="AL317" t="str">
        <f>HYPERLINK("http://www.uniprot.org/uniprot/Q0I740","0.006")</f>
        <v>0.006</v>
      </c>
      <c r="AM317" t="s">
        <v>245</v>
      </c>
      <c r="AN317">
        <v>40.799999999999997</v>
      </c>
      <c r="AO317">
        <v>91</v>
      </c>
      <c r="AP317">
        <v>283</v>
      </c>
      <c r="AQ317">
        <v>31</v>
      </c>
      <c r="AR317">
        <v>33</v>
      </c>
      <c r="AS317">
        <v>63</v>
      </c>
      <c r="AT317">
        <v>2</v>
      </c>
      <c r="AU317">
        <v>142</v>
      </c>
      <c r="AV317">
        <v>94</v>
      </c>
      <c r="AW317">
        <v>1</v>
      </c>
      <c r="AX317" t="s">
        <v>246</v>
      </c>
      <c r="AY317" t="s">
        <v>8</v>
      </c>
      <c r="AZ317"/>
      <c r="BA317"/>
      <c r="BB317"/>
      <c r="BC317"/>
      <c r="BD317"/>
      <c r="BE317"/>
      <c r="BF317"/>
      <c r="BG317"/>
      <c r="BH317"/>
      <c r="BI317"/>
      <c r="BJ317"/>
      <c r="BK317"/>
      <c r="BL317" t="s">
        <v>8</v>
      </c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 t="s">
        <v>8</v>
      </c>
      <c r="CD317"/>
      <c r="CE317"/>
      <c r="CF317" t="s">
        <v>8</v>
      </c>
      <c r="CG317"/>
      <c r="CH317"/>
      <c r="CI317" t="s">
        <v>8</v>
      </c>
      <c r="CJ317"/>
      <c r="CK317" t="s">
        <v>8</v>
      </c>
      <c r="CL317"/>
      <c r="CM317" t="s">
        <v>8</v>
      </c>
      <c r="CN317"/>
      <c r="CO317" t="s">
        <v>8</v>
      </c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 t="s">
        <v>8</v>
      </c>
      <c r="DD317"/>
      <c r="DE317"/>
      <c r="DF317"/>
      <c r="DG317"/>
      <c r="DH317"/>
      <c r="DI317"/>
      <c r="DJ317"/>
      <c r="DK317"/>
      <c r="DL317"/>
      <c r="DM317"/>
      <c r="DN317"/>
      <c r="DO317"/>
      <c r="DP317"/>
    </row>
    <row r="318" spans="1:120" s="5" customFormat="1">
      <c r="A318" s="6" t="str">
        <f>HYPERLINK(".\links\pep\TI-528-pep.txt","TI-528")</f>
        <v>TI-528</v>
      </c>
      <c r="B318" s="6">
        <v>528</v>
      </c>
      <c r="C318" s="6" t="s">
        <v>13</v>
      </c>
      <c r="D318" s="6">
        <v>45</v>
      </c>
      <c r="E318" s="6">
        <v>0</v>
      </c>
      <c r="F318" s="6" t="str">
        <f>HYPERLINK(".\links\cds\TI-528-cds.txt","TI-528")</f>
        <v>TI-528</v>
      </c>
      <c r="G318" s="6">
        <v>138</v>
      </c>
      <c r="H318" s="6"/>
      <c r="I318" s="6" t="s">
        <v>8</v>
      </c>
      <c r="J318" s="6" t="s">
        <v>6</v>
      </c>
      <c r="K318" s="6">
        <v>1</v>
      </c>
      <c r="L318" s="6">
        <v>0</v>
      </c>
      <c r="M318" s="6">
        <f t="shared" si="16"/>
        <v>1</v>
      </c>
      <c r="N318" s="6">
        <f t="shared" si="17"/>
        <v>1</v>
      </c>
      <c r="O318" s="6" t="s">
        <v>1170</v>
      </c>
      <c r="P318" s="6" t="s">
        <v>1171</v>
      </c>
      <c r="Q318" s="6"/>
      <c r="R318" s="6"/>
      <c r="S318" s="6"/>
      <c r="T318" s="6" t="s">
        <v>8</v>
      </c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 t="s">
        <v>8</v>
      </c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 t="s">
        <v>8</v>
      </c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 t="s">
        <v>8</v>
      </c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 t="s">
        <v>8</v>
      </c>
      <c r="CD318" s="6"/>
      <c r="CE318" s="6"/>
      <c r="CF318" s="6" t="s">
        <v>8</v>
      </c>
      <c r="CG318" s="6"/>
      <c r="CH318" s="6"/>
      <c r="CI318" s="6" t="s">
        <v>8</v>
      </c>
      <c r="CJ318" s="6"/>
      <c r="CK318" s="6" t="s">
        <v>8</v>
      </c>
      <c r="CL318" s="6"/>
      <c r="CM318" s="6" t="s">
        <v>8</v>
      </c>
      <c r="CN318" s="6"/>
      <c r="CO318" s="6" t="s">
        <v>8</v>
      </c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 t="s">
        <v>8</v>
      </c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</row>
    <row r="319" spans="1:120" s="5" customFormat="1">
      <c r="A319" s="6" t="str">
        <f>HYPERLINK(".\links\pep\TI-530-pep.txt","TI-530")</f>
        <v>TI-530</v>
      </c>
      <c r="B319" s="6">
        <v>530</v>
      </c>
      <c r="C319" s="6" t="s">
        <v>7</v>
      </c>
      <c r="D319" s="6">
        <v>240</v>
      </c>
      <c r="E319" s="6">
        <v>0</v>
      </c>
      <c r="F319" s="6" t="str">
        <f>HYPERLINK(".\links\cds\TI-530-cds.txt","TI-530")</f>
        <v>TI-530</v>
      </c>
      <c r="G319" s="6">
        <v>723</v>
      </c>
      <c r="H319" s="6"/>
      <c r="I319" s="6" t="s">
        <v>29</v>
      </c>
      <c r="J319" s="6" t="s">
        <v>6</v>
      </c>
      <c r="K319" s="6">
        <v>4</v>
      </c>
      <c r="L319" s="6">
        <v>1</v>
      </c>
      <c r="M319" s="6">
        <f t="shared" si="16"/>
        <v>3</v>
      </c>
      <c r="N319" s="6">
        <f t="shared" si="17"/>
        <v>3</v>
      </c>
      <c r="O319" s="6" t="s">
        <v>1170</v>
      </c>
      <c r="P319" s="6" t="s">
        <v>1171</v>
      </c>
      <c r="Q319" s="6"/>
      <c r="R319" s="6"/>
      <c r="S319" s="6"/>
      <c r="T319" s="6" t="str">
        <f>HYPERLINK(".\links\NR-LIGHT\TI-530-NR-LIGHT.txt","similar to CG14661 CG14661-PA")</f>
        <v>similar to CG14661 CG14661-PA</v>
      </c>
      <c r="U319" s="6" t="str">
        <f>HYPERLINK("http://www.ncbi.nlm.nih.gov/sutils/blink.cgi?pid=91082781","0.003")</f>
        <v>0.003</v>
      </c>
      <c r="V319" s="6" t="str">
        <f>HYPERLINK("http://www.ncbi.nlm.nih.gov/protein/91082781","gi|91082781")</f>
        <v>gi|91082781</v>
      </c>
      <c r="W319" s="6">
        <v>44.7</v>
      </c>
      <c r="X319" s="6">
        <v>209</v>
      </c>
      <c r="Y319" s="6">
        <v>249</v>
      </c>
      <c r="Z319" s="6">
        <v>21</v>
      </c>
      <c r="AA319" s="6">
        <v>84</v>
      </c>
      <c r="AB319" s="6">
        <v>168</v>
      </c>
      <c r="AC319" s="6">
        <v>13</v>
      </c>
      <c r="AD319" s="6">
        <v>37</v>
      </c>
      <c r="AE319" s="6">
        <v>35</v>
      </c>
      <c r="AF319" s="6">
        <v>1</v>
      </c>
      <c r="AG319" s="6"/>
      <c r="AH319" s="6" t="s">
        <v>13</v>
      </c>
      <c r="AI319" s="6" t="s">
        <v>51</v>
      </c>
      <c r="AJ319" s="6" t="s">
        <v>266</v>
      </c>
      <c r="AK319" s="6" t="s">
        <v>8</v>
      </c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 t="str">
        <f>HYPERLINK(".\links\PREV-RHOD-PEP\TI-530-PREV-RHOD-PEP.txt","Contig17963_39")</f>
        <v>Contig17963_39</v>
      </c>
      <c r="AZ319" s="8">
        <v>4.0000000000000002E-56</v>
      </c>
      <c r="BA319" s="6" t="s">
        <v>1155</v>
      </c>
      <c r="BB319" s="6">
        <v>213</v>
      </c>
      <c r="BC319" s="6">
        <v>133</v>
      </c>
      <c r="BD319" s="6">
        <v>225</v>
      </c>
      <c r="BE319" s="6">
        <v>74</v>
      </c>
      <c r="BF319" s="6">
        <v>60</v>
      </c>
      <c r="BG319" s="6">
        <v>34</v>
      </c>
      <c r="BH319" s="6">
        <v>1</v>
      </c>
      <c r="BI319" s="6">
        <v>1</v>
      </c>
      <c r="BJ319" s="6">
        <v>1</v>
      </c>
      <c r="BK319" s="6">
        <v>1</v>
      </c>
      <c r="BL319" s="6" t="s">
        <v>8</v>
      </c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 t="s">
        <v>8</v>
      </c>
      <c r="CD319" s="6"/>
      <c r="CE319" s="6"/>
      <c r="CF319" s="6" t="s">
        <v>8</v>
      </c>
      <c r="CG319" s="6"/>
      <c r="CH319" s="6"/>
      <c r="CI319" s="6" t="s">
        <v>8</v>
      </c>
      <c r="CJ319" s="6"/>
      <c r="CK319" s="6" t="s">
        <v>8</v>
      </c>
      <c r="CL319" s="6"/>
      <c r="CM319" s="6" t="s">
        <v>8</v>
      </c>
      <c r="CN319" s="6"/>
      <c r="CO319" s="6" t="s">
        <v>8</v>
      </c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 t="s">
        <v>8</v>
      </c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</row>
    <row r="320" spans="1:120" s="5" customFormat="1">
      <c r="A320" s="6" t="str">
        <f>HYPERLINK(".\links\pep\TI-531-pep.txt","TI-531")</f>
        <v>TI-531</v>
      </c>
      <c r="B320" s="6">
        <v>531</v>
      </c>
      <c r="C320" s="6" t="s">
        <v>26</v>
      </c>
      <c r="D320" s="6">
        <v>255</v>
      </c>
      <c r="E320" s="6">
        <v>0</v>
      </c>
      <c r="F320" s="6" t="str">
        <f>HYPERLINK(".\links\cds\TI-531-cds.txt","TI-531")</f>
        <v>TI-531</v>
      </c>
      <c r="G320" s="6">
        <v>768</v>
      </c>
      <c r="H320" s="6"/>
      <c r="I320" s="6" t="s">
        <v>8</v>
      </c>
      <c r="J320" s="6" t="s">
        <v>6</v>
      </c>
      <c r="K320" s="6">
        <v>3</v>
      </c>
      <c r="L320" s="6">
        <v>3</v>
      </c>
      <c r="M320" s="6">
        <f t="shared" si="16"/>
        <v>0</v>
      </c>
      <c r="N320" s="6">
        <f t="shared" si="17"/>
        <v>0</v>
      </c>
      <c r="O320" s="6" t="s">
        <v>1170</v>
      </c>
      <c r="P320" s="6" t="s">
        <v>1171</v>
      </c>
      <c r="Q320" s="6"/>
      <c r="R320" s="6"/>
      <c r="S320" s="6"/>
      <c r="T320" s="6" t="str">
        <f>HYPERLINK(".\links\NR-LIGHT\TI-531-NR-LIGHT.txt","hypothetical protein DAPPUDRAFT_308200")</f>
        <v>hypothetical protein DAPPUDRAFT_308200</v>
      </c>
      <c r="U320" s="6" t="str">
        <f>HYPERLINK("http://www.ncbi.nlm.nih.gov/sutils/blink.cgi?pid=321461569","2E-005")</f>
        <v>2E-005</v>
      </c>
      <c r="V320" s="6" t="str">
        <f>HYPERLINK("http://www.ncbi.nlm.nih.gov/protein/321461569","gi|321461569")</f>
        <v>gi|321461569</v>
      </c>
      <c r="W320" s="6">
        <v>51.6</v>
      </c>
      <c r="X320" s="6">
        <v>114</v>
      </c>
      <c r="Y320" s="6">
        <v>450</v>
      </c>
      <c r="Z320" s="6">
        <v>26</v>
      </c>
      <c r="AA320" s="6">
        <v>26</v>
      </c>
      <c r="AB320" s="6">
        <v>84</v>
      </c>
      <c r="AC320" s="6">
        <v>7</v>
      </c>
      <c r="AD320" s="6">
        <v>37</v>
      </c>
      <c r="AE320" s="6">
        <v>36</v>
      </c>
      <c r="AF320" s="6">
        <v>1</v>
      </c>
      <c r="AG320" s="6"/>
      <c r="AH320" s="6" t="s">
        <v>13</v>
      </c>
      <c r="AI320" s="6" t="s">
        <v>51</v>
      </c>
      <c r="AJ320" s="6" t="s">
        <v>270</v>
      </c>
      <c r="AK320" s="6" t="s">
        <v>8</v>
      </c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 t="str">
        <f>HYPERLINK(".\links\PREV-RHOD-PEP\TI-531-PREV-RHOD-PEP.txt","Contig17963_39")</f>
        <v>Contig17963_39</v>
      </c>
      <c r="AZ320" s="8">
        <v>2E-55</v>
      </c>
      <c r="BA320" s="6" t="s">
        <v>1155</v>
      </c>
      <c r="BB320" s="6">
        <v>211</v>
      </c>
      <c r="BC320" s="6">
        <v>133</v>
      </c>
      <c r="BD320" s="6">
        <v>225</v>
      </c>
      <c r="BE320" s="6">
        <v>74</v>
      </c>
      <c r="BF320" s="6">
        <v>60</v>
      </c>
      <c r="BG320" s="6">
        <v>35</v>
      </c>
      <c r="BH320" s="6">
        <v>1</v>
      </c>
      <c r="BI320" s="6">
        <v>1</v>
      </c>
      <c r="BJ320" s="6">
        <v>6</v>
      </c>
      <c r="BK320" s="6">
        <v>1</v>
      </c>
      <c r="BL320" s="6" t="s">
        <v>8</v>
      </c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 t="s">
        <v>8</v>
      </c>
      <c r="CD320" s="6"/>
      <c r="CE320" s="6"/>
      <c r="CF320" s="6" t="s">
        <v>8</v>
      </c>
      <c r="CG320" s="6"/>
      <c r="CH320" s="6"/>
      <c r="CI320" s="6" t="s">
        <v>8</v>
      </c>
      <c r="CJ320" s="6"/>
      <c r="CK320" s="6" t="s">
        <v>8</v>
      </c>
      <c r="CL320" s="6"/>
      <c r="CM320" s="6" t="s">
        <v>8</v>
      </c>
      <c r="CN320" s="6"/>
      <c r="CO320" s="6" t="s">
        <v>8</v>
      </c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 t="s">
        <v>8</v>
      </c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</row>
    <row r="321" spans="1:120" s="5" customFormat="1">
      <c r="A321" s="6" t="str">
        <f>HYPERLINK(".\links\pep\TI-532-pep.txt","TI-532")</f>
        <v>TI-532</v>
      </c>
      <c r="B321" s="6">
        <v>532</v>
      </c>
      <c r="C321" s="6" t="s">
        <v>12</v>
      </c>
      <c r="D321" s="6">
        <v>124</v>
      </c>
      <c r="E321" s="6">
        <v>0</v>
      </c>
      <c r="F321" s="6" t="str">
        <f>HYPERLINK(".\links\cds\TI-532-cds.txt","TI-532")</f>
        <v>TI-532</v>
      </c>
      <c r="G321" s="6">
        <v>375</v>
      </c>
      <c r="H321" s="6"/>
      <c r="I321" s="6" t="s">
        <v>8</v>
      </c>
      <c r="J321" s="6" t="s">
        <v>6</v>
      </c>
      <c r="K321" s="6">
        <v>0</v>
      </c>
      <c r="L321" s="6">
        <v>2</v>
      </c>
      <c r="M321" s="6">
        <f t="shared" si="16"/>
        <v>-2</v>
      </c>
      <c r="N321" s="6">
        <f t="shared" si="17"/>
        <v>2</v>
      </c>
      <c r="O321" s="6" t="s">
        <v>1170</v>
      </c>
      <c r="P321" s="6" t="s">
        <v>1171</v>
      </c>
      <c r="Q321" s="6"/>
      <c r="R321" s="6"/>
      <c r="S321" s="6"/>
      <c r="T321" s="6" t="str">
        <f>HYPERLINK(".\links\NR-LIGHT\TI-532-NR-LIGHT.txt","kininogen 1, isoform CRA_b")</f>
        <v>kininogen 1, isoform CRA_b</v>
      </c>
      <c r="U321" s="6" t="str">
        <f>HYPERLINK("http://www.ncbi.nlm.nih.gov/sutils/blink.cgi?pid=119598586","0.008")</f>
        <v>0.008</v>
      </c>
      <c r="V321" s="6" t="str">
        <f>HYPERLINK("http://www.ncbi.nlm.nih.gov/protein/119598586","gi|119598586")</f>
        <v>gi|119598586</v>
      </c>
      <c r="W321" s="6">
        <v>41.6</v>
      </c>
      <c r="X321" s="6">
        <v>68</v>
      </c>
      <c r="Y321" s="6">
        <v>644</v>
      </c>
      <c r="Z321" s="6">
        <v>31</v>
      </c>
      <c r="AA321" s="6">
        <v>11</v>
      </c>
      <c r="AB321" s="6">
        <v>47</v>
      </c>
      <c r="AC321" s="6">
        <v>6</v>
      </c>
      <c r="AD321" s="6">
        <v>262</v>
      </c>
      <c r="AE321" s="6">
        <v>29</v>
      </c>
      <c r="AF321" s="6">
        <v>1</v>
      </c>
      <c r="AG321" s="6"/>
      <c r="AH321" s="6" t="s">
        <v>13</v>
      </c>
      <c r="AI321" s="6" t="s">
        <v>51</v>
      </c>
      <c r="AJ321" s="6" t="s">
        <v>68</v>
      </c>
      <c r="AK321" s="6" t="str">
        <f>HYPERLINK(".\links\SWISSP\TI-532-SWISSP.txt","Sarcocystatin-A OS=Sarcophaga peregrina PE=1 SV=1")</f>
        <v>Sarcocystatin-A OS=Sarcophaga peregrina PE=1 SV=1</v>
      </c>
      <c r="AL321" s="6" t="str">
        <f>HYPERLINK("http://www.uniprot.org/uniprot/P31727","9E-005")</f>
        <v>9E-005</v>
      </c>
      <c r="AM321" s="6" t="s">
        <v>247</v>
      </c>
      <c r="AN321" s="6">
        <v>45.4</v>
      </c>
      <c r="AO321" s="6">
        <v>96</v>
      </c>
      <c r="AP321" s="6">
        <v>122</v>
      </c>
      <c r="AQ321" s="6">
        <v>29</v>
      </c>
      <c r="AR321" s="6">
        <v>80</v>
      </c>
      <c r="AS321" s="6">
        <v>70</v>
      </c>
      <c r="AT321" s="6">
        <v>7</v>
      </c>
      <c r="AU321" s="6">
        <v>3</v>
      </c>
      <c r="AV321" s="6">
        <v>11</v>
      </c>
      <c r="AW321" s="6">
        <v>1</v>
      </c>
      <c r="AX321" s="6" t="s">
        <v>248</v>
      </c>
      <c r="AY321" s="6" t="str">
        <f>HYPERLINK(".\links\PREV-RHOD-PEP\TI-532-PREV-RHOD-PEP.txt","Contig18034_95")</f>
        <v>Contig18034_95</v>
      </c>
      <c r="AZ321" s="8">
        <v>1.9999999999999999E-34</v>
      </c>
      <c r="BA321" s="6" t="s">
        <v>1127</v>
      </c>
      <c r="BB321" s="6">
        <v>140</v>
      </c>
      <c r="BC321" s="6">
        <v>111</v>
      </c>
      <c r="BD321" s="6">
        <v>470</v>
      </c>
      <c r="BE321" s="6">
        <v>58</v>
      </c>
      <c r="BF321" s="6">
        <v>24</v>
      </c>
      <c r="BG321" s="6">
        <v>47</v>
      </c>
      <c r="BH321" s="6">
        <v>0</v>
      </c>
      <c r="BI321" s="6">
        <v>1</v>
      </c>
      <c r="BJ321" s="6">
        <v>5</v>
      </c>
      <c r="BK321" s="6">
        <v>1</v>
      </c>
      <c r="BL321" s="6" t="s">
        <v>858</v>
      </c>
      <c r="BM321" s="6">
        <f>HYPERLINK(".\links\GO\TI-532-GO.txt",0.008)</f>
        <v>8.0000000000000002E-3</v>
      </c>
      <c r="BN321" s="6" t="s">
        <v>859</v>
      </c>
      <c r="BO321" s="6" t="s">
        <v>340</v>
      </c>
      <c r="BP321" s="6" t="s">
        <v>341</v>
      </c>
      <c r="BQ321" s="6" t="s">
        <v>860</v>
      </c>
      <c r="BR321" s="6">
        <v>8.0000000000000002E-3</v>
      </c>
      <c r="BS321" s="6" t="s">
        <v>861</v>
      </c>
      <c r="BT321" s="6" t="s">
        <v>501</v>
      </c>
      <c r="BU321" s="6" t="s">
        <v>752</v>
      </c>
      <c r="BV321" s="6" t="s">
        <v>862</v>
      </c>
      <c r="BW321" s="6">
        <v>8.0000000000000002E-3</v>
      </c>
      <c r="BX321" s="6" t="s">
        <v>863</v>
      </c>
      <c r="BY321" s="6" t="s">
        <v>340</v>
      </c>
      <c r="BZ321" s="6" t="s">
        <v>341</v>
      </c>
      <c r="CA321" s="6" t="s">
        <v>864</v>
      </c>
      <c r="CB321" s="6">
        <v>8.0000000000000002E-3</v>
      </c>
      <c r="CC321" s="6" t="s">
        <v>8</v>
      </c>
      <c r="CD321" s="6"/>
      <c r="CE321" s="6"/>
      <c r="CF321" s="6" t="s">
        <v>8</v>
      </c>
      <c r="CG321" s="6"/>
      <c r="CH321" s="6"/>
      <c r="CI321" s="6" t="s">
        <v>8</v>
      </c>
      <c r="CJ321" s="6"/>
      <c r="CK321" s="6" t="s">
        <v>8</v>
      </c>
      <c r="CL321" s="6"/>
      <c r="CM321" s="6" t="s">
        <v>8</v>
      </c>
      <c r="CN321" s="6"/>
      <c r="CO321" s="6" t="s">
        <v>8</v>
      </c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 t="s">
        <v>8</v>
      </c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</row>
    <row r="322" spans="1:120" s="5" customFormat="1">
      <c r="A322" s="6" t="str">
        <f>HYPERLINK(".\links\pep\TI-533-pep.txt","TI-533")</f>
        <v>TI-533</v>
      </c>
      <c r="B322" s="6">
        <v>533</v>
      </c>
      <c r="C322" s="6" t="s">
        <v>24</v>
      </c>
      <c r="D322" s="6">
        <v>36</v>
      </c>
      <c r="E322" s="6">
        <v>0</v>
      </c>
      <c r="F322" s="6" t="str">
        <f>HYPERLINK(".\links\cds\TI-533-cds.txt","TI-533")</f>
        <v>TI-533</v>
      </c>
      <c r="G322" s="6">
        <v>111</v>
      </c>
      <c r="H322" s="6"/>
      <c r="I322" s="6" t="s">
        <v>8</v>
      </c>
      <c r="J322" s="6" t="s">
        <v>6</v>
      </c>
      <c r="K322" s="6">
        <v>1</v>
      </c>
      <c r="L322" s="6">
        <v>0</v>
      </c>
      <c r="M322" s="6">
        <f t="shared" si="16"/>
        <v>1</v>
      </c>
      <c r="N322" s="6">
        <f t="shared" si="17"/>
        <v>1</v>
      </c>
      <c r="O322" s="6" t="s">
        <v>1170</v>
      </c>
      <c r="P322" s="6" t="s">
        <v>1171</v>
      </c>
      <c r="Q322" s="6"/>
      <c r="R322" s="6"/>
      <c r="S322" s="6"/>
      <c r="T322" s="6" t="s">
        <v>8</v>
      </c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 t="s">
        <v>8</v>
      </c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 t="s">
        <v>8</v>
      </c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 t="s">
        <v>8</v>
      </c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 t="s">
        <v>8</v>
      </c>
      <c r="CD322" s="6"/>
      <c r="CE322" s="6"/>
      <c r="CF322" s="6" t="s">
        <v>8</v>
      </c>
      <c r="CG322" s="6"/>
      <c r="CH322" s="6"/>
      <c r="CI322" s="6" t="s">
        <v>8</v>
      </c>
      <c r="CJ322" s="6"/>
      <c r="CK322" s="6" t="s">
        <v>8</v>
      </c>
      <c r="CL322" s="6"/>
      <c r="CM322" s="6" t="s">
        <v>8</v>
      </c>
      <c r="CN322" s="6"/>
      <c r="CO322" s="6" t="s">
        <v>8</v>
      </c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 t="s">
        <v>8</v>
      </c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</row>
    <row r="323" spans="1:120" s="5" customFormat="1">
      <c r="A323" s="6" t="str">
        <f>HYPERLINK(".\links\pep\TI-534-pep.txt","TI-534")</f>
        <v>TI-534</v>
      </c>
      <c r="B323" s="6">
        <v>534</v>
      </c>
      <c r="C323" s="6" t="s">
        <v>18</v>
      </c>
      <c r="D323" s="6">
        <v>45</v>
      </c>
      <c r="E323" s="6">
        <v>0</v>
      </c>
      <c r="F323" s="6" t="str">
        <f>HYPERLINK(".\links\cds\TI-534-cds.txt","TI-534")</f>
        <v>TI-534</v>
      </c>
      <c r="G323" s="6">
        <v>138</v>
      </c>
      <c r="H323" s="6"/>
      <c r="I323" s="6" t="s">
        <v>8</v>
      </c>
      <c r="J323" s="6" t="s">
        <v>6</v>
      </c>
      <c r="K323" s="6">
        <v>0</v>
      </c>
      <c r="L323" s="6">
        <v>1</v>
      </c>
      <c r="M323" s="6">
        <f t="shared" si="16"/>
        <v>-1</v>
      </c>
      <c r="N323" s="6">
        <f t="shared" si="17"/>
        <v>1</v>
      </c>
      <c r="O323" s="6" t="s">
        <v>1170</v>
      </c>
      <c r="P323" s="6" t="s">
        <v>1171</v>
      </c>
      <c r="Q323" s="6"/>
      <c r="R323" s="6"/>
      <c r="S323" s="6"/>
      <c r="T323" s="6" t="str">
        <f>HYPERLINK(".\links\NR-LIGHT\TI-534-NR-LIGHT.txt","hypothetical protein Bm1_17870")</f>
        <v>hypothetical protein Bm1_17870</v>
      </c>
      <c r="U323" s="6" t="str">
        <f>HYPERLINK("http://www.ncbi.nlm.nih.gov/sutils/blink.cgi?pid=170579899","4E-006")</f>
        <v>4E-006</v>
      </c>
      <c r="V323" s="6" t="str">
        <f>HYPERLINK("http://www.ncbi.nlm.nih.gov/protein/170579899","gi|170579899")</f>
        <v>gi|170579899</v>
      </c>
      <c r="W323" s="6">
        <v>52.4</v>
      </c>
      <c r="X323" s="6">
        <v>24</v>
      </c>
      <c r="Y323" s="6">
        <v>62</v>
      </c>
      <c r="Z323" s="6">
        <v>92</v>
      </c>
      <c r="AA323" s="6">
        <v>40</v>
      </c>
      <c r="AB323" s="6">
        <v>2</v>
      </c>
      <c r="AC323" s="6">
        <v>0</v>
      </c>
      <c r="AD323" s="6">
        <v>1</v>
      </c>
      <c r="AE323" s="6">
        <v>21</v>
      </c>
      <c r="AF323" s="6">
        <v>1</v>
      </c>
      <c r="AG323" s="6"/>
      <c r="AH323" s="6" t="s">
        <v>13</v>
      </c>
      <c r="AI323" s="6" t="s">
        <v>51</v>
      </c>
      <c r="AJ323" s="6" t="s">
        <v>284</v>
      </c>
      <c r="AK323" s="6" t="s">
        <v>8</v>
      </c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 t="s">
        <v>8</v>
      </c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 t="s">
        <v>8</v>
      </c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 t="s">
        <v>8</v>
      </c>
      <c r="CD323" s="6"/>
      <c r="CE323" s="6"/>
      <c r="CF323" s="6" t="s">
        <v>8</v>
      </c>
      <c r="CG323" s="6"/>
      <c r="CH323" s="6"/>
      <c r="CI323" s="6" t="s">
        <v>8</v>
      </c>
      <c r="CJ323" s="6"/>
      <c r="CK323" s="6" t="s">
        <v>8</v>
      </c>
      <c r="CL323" s="6"/>
      <c r="CM323" s="6" t="s">
        <v>8</v>
      </c>
      <c r="CN323" s="6"/>
      <c r="CO323" s="6" t="s">
        <v>8</v>
      </c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 t="str">
        <f>HYPERLINK(".\links\RRNA\TI-534-RRNA.txt","Amblyomma americanum 18S rRNA sequence")</f>
        <v>Amblyomma americanum 18S rRNA sequence</v>
      </c>
      <c r="DD323" s="6" t="str">
        <f>HYPERLINK("http://www.ncbi.nlm.nih.gov/entrez/viewer.fcgi?db=nucleotide&amp;val=173606","5E-050")</f>
        <v>5E-050</v>
      </c>
      <c r="DE323" s="6" t="str">
        <f>HYPERLINK("http://www.ncbi.nlm.nih.gov/entrez/viewer.fcgi?db=nucleotide&amp;val=173606","gi|173606")</f>
        <v>gi|173606</v>
      </c>
      <c r="DF323" s="6">
        <v>194</v>
      </c>
      <c r="DG323" s="6">
        <v>101</v>
      </c>
      <c r="DH323" s="6">
        <v>1441</v>
      </c>
      <c r="DI323" s="6">
        <v>99</v>
      </c>
      <c r="DJ323" s="6">
        <v>7</v>
      </c>
      <c r="DK323" s="6">
        <v>1</v>
      </c>
      <c r="DL323" s="6">
        <v>0</v>
      </c>
      <c r="DM323" s="6">
        <v>230</v>
      </c>
      <c r="DN323" s="6">
        <v>37</v>
      </c>
      <c r="DO323" s="6">
        <v>1</v>
      </c>
      <c r="DP323" s="6" t="s">
        <v>981</v>
      </c>
    </row>
    <row r="324" spans="1:120" s="5" customFormat="1">
      <c r="A324" s="6" t="str">
        <f>HYPERLINK(".\links\pep\TI-535-pep.txt","TI-535")</f>
        <v>TI-535</v>
      </c>
      <c r="B324" s="6">
        <v>535</v>
      </c>
      <c r="C324" s="6" t="s">
        <v>27</v>
      </c>
      <c r="D324" s="6">
        <v>41</v>
      </c>
      <c r="E324" s="6">
        <v>0</v>
      </c>
      <c r="F324" s="6" t="str">
        <f>HYPERLINK(".\links\cds\TI-535-cds.txt","TI-535")</f>
        <v>TI-535</v>
      </c>
      <c r="G324" s="6">
        <v>126</v>
      </c>
      <c r="H324" s="6"/>
      <c r="I324" s="6" t="s">
        <v>8</v>
      </c>
      <c r="J324" s="6" t="s">
        <v>6</v>
      </c>
      <c r="K324" s="6">
        <v>0</v>
      </c>
      <c r="L324" s="6">
        <v>2</v>
      </c>
      <c r="M324" s="6">
        <f t="shared" si="16"/>
        <v>-2</v>
      </c>
      <c r="N324" s="6">
        <f t="shared" si="17"/>
        <v>2</v>
      </c>
      <c r="O324" s="6" t="s">
        <v>1170</v>
      </c>
      <c r="P324" s="6" t="s">
        <v>1171</v>
      </c>
      <c r="Q324" s="6"/>
      <c r="R324" s="6"/>
      <c r="S324" s="6"/>
      <c r="T324" s="6" t="s">
        <v>8</v>
      </c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 t="s">
        <v>8</v>
      </c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 t="s">
        <v>8</v>
      </c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 t="s">
        <v>8</v>
      </c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 t="s">
        <v>8</v>
      </c>
      <c r="CD324" s="6"/>
      <c r="CE324" s="6"/>
      <c r="CF324" s="6" t="s">
        <v>8</v>
      </c>
      <c r="CG324" s="6"/>
      <c r="CH324" s="6"/>
      <c r="CI324" s="6" t="s">
        <v>8</v>
      </c>
      <c r="CJ324" s="6"/>
      <c r="CK324" s="6" t="s">
        <v>8</v>
      </c>
      <c r="CL324" s="6"/>
      <c r="CM324" s="6" t="s">
        <v>8</v>
      </c>
      <c r="CN324" s="6"/>
      <c r="CO324" s="6" t="s">
        <v>8</v>
      </c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 t="str">
        <f>HYPERLINK(".\links\RRNA\TI-535-RRNA.txt","Mylabris calida mitochondrial partial 16S rRNA gene, isolate Mc1")</f>
        <v>Mylabris calida mitochondrial partial 16S rRNA gene, isolate Mc1</v>
      </c>
      <c r="DD324" s="6" t="str">
        <f>HYPERLINK("http://www.ncbi.nlm.nih.gov/entrez/viewer.fcgi?db=nucleotide&amp;val=56409783","1E-007")</f>
        <v>1E-007</v>
      </c>
      <c r="DE324" s="6" t="str">
        <f>HYPERLINK("http://www.ncbi.nlm.nih.gov/entrez/viewer.fcgi?db=nucleotide&amp;val=56409783","gi|56409783")</f>
        <v>gi|56409783</v>
      </c>
      <c r="DF324" s="6">
        <v>54</v>
      </c>
      <c r="DG324" s="6">
        <v>30</v>
      </c>
      <c r="DH324" s="6">
        <v>548</v>
      </c>
      <c r="DI324" s="6">
        <v>96</v>
      </c>
      <c r="DJ324" s="6">
        <v>6</v>
      </c>
      <c r="DK324" s="6">
        <v>1</v>
      </c>
      <c r="DL324" s="6">
        <v>0</v>
      </c>
      <c r="DM324" s="6">
        <v>1</v>
      </c>
      <c r="DN324" s="6">
        <v>8</v>
      </c>
      <c r="DO324" s="6">
        <v>1</v>
      </c>
      <c r="DP324" s="6" t="s">
        <v>981</v>
      </c>
    </row>
    <row r="325" spans="1:120" s="5" customFormat="1">
      <c r="A325" t="str">
        <f>HYPERLINK(".\links\pep\TI-536-pep.txt","TI-536")</f>
        <v>TI-536</v>
      </c>
      <c r="B325">
        <v>536</v>
      </c>
      <c r="C325" t="s">
        <v>12</v>
      </c>
      <c r="D325">
        <v>137</v>
      </c>
      <c r="E325">
        <v>0</v>
      </c>
      <c r="F325" t="str">
        <f>HYPERLINK(".\links\cds\TI-536-cds.txt","TI-536")</f>
        <v>TI-536</v>
      </c>
      <c r="G325">
        <v>414</v>
      </c>
      <c r="H325"/>
      <c r="I325" t="s">
        <v>8</v>
      </c>
      <c r="J325" t="s">
        <v>6</v>
      </c>
      <c r="K325">
        <v>3</v>
      </c>
      <c r="L325">
        <v>1</v>
      </c>
      <c r="M325">
        <f t="shared" si="16"/>
        <v>2</v>
      </c>
      <c r="N325">
        <f t="shared" si="17"/>
        <v>2</v>
      </c>
      <c r="O325" t="s">
        <v>1239</v>
      </c>
      <c r="P325" t="s">
        <v>1178</v>
      </c>
      <c r="Q325" t="str">
        <f>HYPERLINK(".\links\NR-LIGHT\TI-536-NR-LIGHT.txt","NR-LIGHT")</f>
        <v>NR-LIGHT</v>
      </c>
      <c r="R325" s="3">
        <v>9.9999999999999997E-29</v>
      </c>
      <c r="S325">
        <v>50.3</v>
      </c>
      <c r="T325" t="str">
        <f>HYPERLINK(".\links\NR-LIGHT\TI-536-NR-LIGHT.txt","similar to CG41536 CG41536-PA")</f>
        <v>similar to CG41536 CG41536-PA</v>
      </c>
      <c r="U325" t="str">
        <f>HYPERLINK("http://www.ncbi.nlm.nih.gov/sutils/blink.cgi?pid=189242281","1E-028")</f>
        <v>1E-028</v>
      </c>
      <c r="V325" t="str">
        <f>HYPERLINK("http://www.ncbi.nlm.nih.gov/protein/189242281","gi|189242281")</f>
        <v>gi|189242281</v>
      </c>
      <c r="W325">
        <v>127</v>
      </c>
      <c r="X325">
        <v>78</v>
      </c>
      <c r="Y325">
        <v>159</v>
      </c>
      <c r="Z325">
        <v>77</v>
      </c>
      <c r="AA325">
        <v>50</v>
      </c>
      <c r="AB325">
        <v>18</v>
      </c>
      <c r="AC325">
        <v>1</v>
      </c>
      <c r="AD325">
        <v>79</v>
      </c>
      <c r="AE325">
        <v>5</v>
      </c>
      <c r="AF325">
        <v>1</v>
      </c>
      <c r="AG325"/>
      <c r="AH325" t="s">
        <v>13</v>
      </c>
      <c r="AI325" t="s">
        <v>51</v>
      </c>
      <c r="AJ325" t="s">
        <v>266</v>
      </c>
      <c r="AK325" t="str">
        <f>HYPERLINK(".\links\SWISSP\TI-536-SWISSP.txt","Putative uncharacterized protein ART2 OS=Saccharomyces cerevisiae (strain ATCC")</f>
        <v>Putative uncharacterized protein ART2 OS=Saccharomyces cerevisiae (strain ATCC</v>
      </c>
      <c r="AL325" t="str">
        <f>HYPERLINK("http://www.uniprot.org/uniprot/Q8TGM7","7E-010")</f>
        <v>7E-010</v>
      </c>
      <c r="AM325" t="s">
        <v>249</v>
      </c>
      <c r="AN325">
        <v>62.4</v>
      </c>
      <c r="AO325">
        <v>52</v>
      </c>
      <c r="AP325">
        <v>61</v>
      </c>
      <c r="AQ325">
        <v>58</v>
      </c>
      <c r="AR325">
        <v>87</v>
      </c>
      <c r="AS325">
        <v>22</v>
      </c>
      <c r="AT325">
        <v>0</v>
      </c>
      <c r="AU325">
        <v>6</v>
      </c>
      <c r="AV325">
        <v>19</v>
      </c>
      <c r="AW325">
        <v>1</v>
      </c>
      <c r="AX325" t="s">
        <v>148</v>
      </c>
      <c r="AY325" t="s">
        <v>8</v>
      </c>
      <c r="AZ325"/>
      <c r="BA325"/>
      <c r="BB325"/>
      <c r="BC325"/>
      <c r="BD325"/>
      <c r="BE325"/>
      <c r="BF325"/>
      <c r="BG325"/>
      <c r="BH325"/>
      <c r="BI325"/>
      <c r="BJ325"/>
      <c r="BK325"/>
      <c r="BL325" t="s">
        <v>949</v>
      </c>
      <c r="BM325">
        <f>HYPERLINK(".\links\GO\TI-536-GO.txt",0.00000005)</f>
        <v>4.9999999999999998E-8</v>
      </c>
      <c r="BN325" t="s">
        <v>373</v>
      </c>
      <c r="BO325" t="s">
        <v>373</v>
      </c>
      <c r="BP325"/>
      <c r="BQ325" t="s">
        <v>374</v>
      </c>
      <c r="BR325">
        <v>4.9999999999999998E-8</v>
      </c>
      <c r="BS325" t="s">
        <v>375</v>
      </c>
      <c r="BT325" t="s">
        <v>375</v>
      </c>
      <c r="BU325"/>
      <c r="BV325" t="s">
        <v>376</v>
      </c>
      <c r="BW325">
        <v>4.9999999999999998E-8</v>
      </c>
      <c r="BX325" t="s">
        <v>380</v>
      </c>
      <c r="BY325" t="s">
        <v>373</v>
      </c>
      <c r="BZ325"/>
      <c r="CA325" t="s">
        <v>381</v>
      </c>
      <c r="CB325">
        <v>4.9999999999999998E-8</v>
      </c>
      <c r="CC325" t="s">
        <v>8</v>
      </c>
      <c r="CD325"/>
      <c r="CE325"/>
      <c r="CF325" t="s">
        <v>8</v>
      </c>
      <c r="CG325"/>
      <c r="CH325"/>
      <c r="CI325" t="s">
        <v>8</v>
      </c>
      <c r="CJ325"/>
      <c r="CK325" t="s">
        <v>8</v>
      </c>
      <c r="CL325"/>
      <c r="CM325" t="s">
        <v>8</v>
      </c>
      <c r="CN325"/>
      <c r="CO325" t="s">
        <v>8</v>
      </c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 t="str">
        <f>HYPERLINK(".\links\RRNA\TI-536-RRNA.txt","Drosophila persimilis ribosomal RNA (Dper\28SrRNA:GL28069), rRNA")</f>
        <v>Drosophila persimilis ribosomal RNA (Dper\28SrRNA:GL28069), rRNA</v>
      </c>
      <c r="DD325" t="str">
        <f>HYPERLINK("http://www.ncbi.nlm.nih.gov/entrez/viewer.fcgi?db=nucleotide&amp;val=195176023","5E-040")</f>
        <v>5E-040</v>
      </c>
      <c r="DE325" t="str">
        <f>HYPERLINK("http://www.ncbi.nlm.nih.gov/entrez/viewer.fcgi?db=nucleotide&amp;val=195176023","gi|195176023")</f>
        <v>gi|195176023</v>
      </c>
      <c r="DF325">
        <v>163</v>
      </c>
      <c r="DG325">
        <v>205</v>
      </c>
      <c r="DH325">
        <v>3969</v>
      </c>
      <c r="DI325">
        <v>84</v>
      </c>
      <c r="DJ325">
        <v>5</v>
      </c>
      <c r="DK325">
        <v>31</v>
      </c>
      <c r="DL325">
        <v>0</v>
      </c>
      <c r="DM325">
        <v>3110</v>
      </c>
      <c r="DN325">
        <v>1</v>
      </c>
      <c r="DO325">
        <v>1</v>
      </c>
      <c r="DP325" t="s">
        <v>981</v>
      </c>
    </row>
    <row r="326" spans="1:120" s="5" customFormat="1">
      <c r="A326" t="str">
        <f>HYPERLINK(".\links\pep\TI-537-pep.txt","TI-537")</f>
        <v>TI-537</v>
      </c>
      <c r="B326">
        <v>537</v>
      </c>
      <c r="C326" t="s">
        <v>14</v>
      </c>
      <c r="D326">
        <v>118</v>
      </c>
      <c r="E326">
        <v>0</v>
      </c>
      <c r="F326" t="str">
        <f>HYPERLINK(".\links\cds\TI-537-cds.txt","TI-537")</f>
        <v>TI-537</v>
      </c>
      <c r="G326">
        <v>357</v>
      </c>
      <c r="H326"/>
      <c r="I326" t="s">
        <v>8</v>
      </c>
      <c r="J326" t="s">
        <v>6</v>
      </c>
      <c r="K326">
        <v>0</v>
      </c>
      <c r="L326">
        <v>1</v>
      </c>
      <c r="M326">
        <f t="shared" si="16"/>
        <v>-1</v>
      </c>
      <c r="N326">
        <f t="shared" si="17"/>
        <v>1</v>
      </c>
      <c r="O326" t="s">
        <v>1347</v>
      </c>
      <c r="P326" t="s">
        <v>1178</v>
      </c>
      <c r="Q326" t="str">
        <f>HYPERLINK(".\links\NR-LIGHT\TI-537-NR-LIGHT.txt","NR-LIGHT")</f>
        <v>NR-LIGHT</v>
      </c>
      <c r="R326" s="3">
        <v>7.0000000000000003E-16</v>
      </c>
      <c r="S326">
        <v>43</v>
      </c>
      <c r="T326" t="str">
        <f>HYPERLINK(".\links\NR-LIGHT\TI-537-NR-LIGHT.txt","similar to CG41536 CG41536-PA, partial")</f>
        <v>similar to CG41536 CG41536-PA, partial</v>
      </c>
      <c r="U326" t="str">
        <f>HYPERLINK("http://www.ncbi.nlm.nih.gov/sutils/blink.cgi?pid=189242234","7E-016")</f>
        <v>7E-016</v>
      </c>
      <c r="V326" t="str">
        <f>HYPERLINK("http://www.ncbi.nlm.nih.gov/protein/189242234","gi|189242234")</f>
        <v>gi|189242234</v>
      </c>
      <c r="W326">
        <v>84.7</v>
      </c>
      <c r="X326">
        <v>52</v>
      </c>
      <c r="Y326">
        <v>125</v>
      </c>
      <c r="Z326">
        <v>77</v>
      </c>
      <c r="AA326">
        <v>42</v>
      </c>
      <c r="AB326">
        <v>12</v>
      </c>
      <c r="AC326">
        <v>1</v>
      </c>
      <c r="AD326">
        <v>71</v>
      </c>
      <c r="AE326">
        <v>12</v>
      </c>
      <c r="AF326">
        <v>1</v>
      </c>
      <c r="AG326"/>
      <c r="AH326" t="s">
        <v>13</v>
      </c>
      <c r="AI326" t="s">
        <v>51</v>
      </c>
      <c r="AJ326" t="s">
        <v>266</v>
      </c>
      <c r="AK326" t="str">
        <f>HYPERLINK(".\links\SWISSP\TI-537-SWISSP.txt","Putative uncharacterized protein ART2 OS=Saccharomyces cerevisiae (strain ATCC")</f>
        <v>Putative uncharacterized protein ART2 OS=Saccharomyces cerevisiae (strain ATCC</v>
      </c>
      <c r="AL326" t="str">
        <f>HYPERLINK("http://www.uniprot.org/uniprot/Q8TGM7","5E-007")</f>
        <v>5E-007</v>
      </c>
      <c r="AM326" t="s">
        <v>249</v>
      </c>
      <c r="AN326">
        <v>53.1</v>
      </c>
      <c r="AO326">
        <v>40</v>
      </c>
      <c r="AP326">
        <v>61</v>
      </c>
      <c r="AQ326">
        <v>63</v>
      </c>
      <c r="AR326">
        <v>67</v>
      </c>
      <c r="AS326">
        <v>15</v>
      </c>
      <c r="AT326">
        <v>0</v>
      </c>
      <c r="AU326">
        <v>18</v>
      </c>
      <c r="AV326">
        <v>12</v>
      </c>
      <c r="AW326">
        <v>1</v>
      </c>
      <c r="AX326" t="s">
        <v>148</v>
      </c>
      <c r="AY326" t="s">
        <v>8</v>
      </c>
      <c r="AZ326"/>
      <c r="BA326"/>
      <c r="BB326"/>
      <c r="BC326"/>
      <c r="BD326"/>
      <c r="BE326"/>
      <c r="BF326"/>
      <c r="BG326"/>
      <c r="BH326"/>
      <c r="BI326"/>
      <c r="BJ326"/>
      <c r="BK326"/>
      <c r="BL326" t="s">
        <v>949</v>
      </c>
      <c r="BM326">
        <f>HYPERLINK(".\links\GO\TI-537-GO.txt",0.00004)</f>
        <v>4.0000000000000003E-5</v>
      </c>
      <c r="BN326" t="s">
        <v>373</v>
      </c>
      <c r="BO326" t="s">
        <v>373</v>
      </c>
      <c r="BP326"/>
      <c r="BQ326" t="s">
        <v>374</v>
      </c>
      <c r="BR326">
        <v>4.0000000000000003E-5</v>
      </c>
      <c r="BS326" t="s">
        <v>375</v>
      </c>
      <c r="BT326" t="s">
        <v>375</v>
      </c>
      <c r="BU326"/>
      <c r="BV326" t="s">
        <v>376</v>
      </c>
      <c r="BW326">
        <v>4.0000000000000003E-5</v>
      </c>
      <c r="BX326" t="s">
        <v>380</v>
      </c>
      <c r="BY326" t="s">
        <v>373</v>
      </c>
      <c r="BZ326"/>
      <c r="CA326" t="s">
        <v>381</v>
      </c>
      <c r="CB326">
        <v>4.0000000000000003E-5</v>
      </c>
      <c r="CC326" t="s">
        <v>8</v>
      </c>
      <c r="CD326"/>
      <c r="CE326"/>
      <c r="CF326" t="s">
        <v>8</v>
      </c>
      <c r="CG326"/>
      <c r="CH326"/>
      <c r="CI326" t="s">
        <v>8</v>
      </c>
      <c r="CJ326"/>
      <c r="CK326" t="s">
        <v>8</v>
      </c>
      <c r="CL326"/>
      <c r="CM326" t="s">
        <v>8</v>
      </c>
      <c r="CN326"/>
      <c r="CO326" t="s">
        <v>8</v>
      </c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 t="str">
        <f>HYPERLINK(".\links\RRNA\TI-537-RRNA.txt","Sus scrofa 28S rRNA, partial sequence")</f>
        <v>Sus scrofa 28S rRNA, partial sequence</v>
      </c>
      <c r="DD326" t="str">
        <f>HYPERLINK("http://www.ncbi.nlm.nih.gov/entrez/viewer.fcgi?db=nucleotide&amp;val=38524494","2E-026")</f>
        <v>2E-026</v>
      </c>
      <c r="DE326" t="str">
        <f>HYPERLINK("http://www.ncbi.nlm.nih.gov/entrez/viewer.fcgi?db=nucleotide&amp;val=38524494","gi|38524494")</f>
        <v>gi|38524494</v>
      </c>
      <c r="DF326">
        <v>117</v>
      </c>
      <c r="DG326">
        <v>102</v>
      </c>
      <c r="DH326">
        <v>380</v>
      </c>
      <c r="DI326">
        <v>89</v>
      </c>
      <c r="DJ326">
        <v>27</v>
      </c>
      <c r="DK326">
        <v>11</v>
      </c>
      <c r="DL326">
        <v>0</v>
      </c>
      <c r="DM326">
        <v>24</v>
      </c>
      <c r="DN326">
        <v>34</v>
      </c>
      <c r="DO326">
        <v>1</v>
      </c>
      <c r="DP326" t="s">
        <v>981</v>
      </c>
    </row>
    <row r="327" spans="1:120" s="5" customFormat="1">
      <c r="A327" s="6" t="str">
        <f>HYPERLINK(".\links\pep\TI-538-pep.txt","TI-538")</f>
        <v>TI-538</v>
      </c>
      <c r="B327" s="6">
        <v>538</v>
      </c>
      <c r="C327" s="6" t="s">
        <v>19</v>
      </c>
      <c r="D327" s="6">
        <v>57</v>
      </c>
      <c r="E327" s="6">
        <v>0</v>
      </c>
      <c r="F327" s="6" t="str">
        <f>HYPERLINK(".\links\cds\TI-538-cds.txt","TI-538")</f>
        <v>TI-538</v>
      </c>
      <c r="G327" s="6">
        <v>174</v>
      </c>
      <c r="H327" s="6"/>
      <c r="I327" s="6" t="s">
        <v>8</v>
      </c>
      <c r="J327" s="6" t="s">
        <v>6</v>
      </c>
      <c r="K327" s="6">
        <v>17</v>
      </c>
      <c r="L327" s="6">
        <v>7</v>
      </c>
      <c r="M327" s="6">
        <f t="shared" si="16"/>
        <v>10</v>
      </c>
      <c r="N327" s="6">
        <f t="shared" si="17"/>
        <v>10</v>
      </c>
      <c r="O327" s="6" t="s">
        <v>1170</v>
      </c>
      <c r="P327" s="6" t="s">
        <v>1171</v>
      </c>
      <c r="Q327" s="6"/>
      <c r="R327" s="6"/>
      <c r="S327" s="6"/>
      <c r="T327" s="6" t="s">
        <v>8</v>
      </c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 t="s">
        <v>8</v>
      </c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 t="s">
        <v>8</v>
      </c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 t="s">
        <v>8</v>
      </c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 t="s">
        <v>8</v>
      </c>
      <c r="CD327" s="6"/>
      <c r="CE327" s="6"/>
      <c r="CF327" s="6" t="s">
        <v>8</v>
      </c>
      <c r="CG327" s="6"/>
      <c r="CH327" s="6"/>
      <c r="CI327" s="6" t="s">
        <v>8</v>
      </c>
      <c r="CJ327" s="6"/>
      <c r="CK327" s="6" t="s">
        <v>8</v>
      </c>
      <c r="CL327" s="6"/>
      <c r="CM327" s="6" t="s">
        <v>8</v>
      </c>
      <c r="CN327" s="6"/>
      <c r="CO327" s="6" t="s">
        <v>8</v>
      </c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 t="s">
        <v>8</v>
      </c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</row>
    <row r="328" spans="1:120" s="5" customFormat="1">
      <c r="A328" t="str">
        <f>HYPERLINK(".\links\pep\TI-539-pep.txt","TI-539")</f>
        <v>TI-539</v>
      </c>
      <c r="B328">
        <v>539</v>
      </c>
      <c r="C328" t="s">
        <v>11</v>
      </c>
      <c r="D328">
        <v>101</v>
      </c>
      <c r="E328">
        <v>0</v>
      </c>
      <c r="F328" t="str">
        <f>HYPERLINK(".\links\cds\TI-539-cds.txt","TI-539")</f>
        <v>TI-539</v>
      </c>
      <c r="G328">
        <v>306</v>
      </c>
      <c r="H328"/>
      <c r="I328" t="s">
        <v>8</v>
      </c>
      <c r="J328" t="s">
        <v>6</v>
      </c>
      <c r="K328">
        <v>0</v>
      </c>
      <c r="L328">
        <v>1</v>
      </c>
      <c r="M328">
        <f t="shared" si="16"/>
        <v>-1</v>
      </c>
      <c r="N328">
        <f t="shared" si="17"/>
        <v>1</v>
      </c>
      <c r="O328" t="s">
        <v>1348</v>
      </c>
      <c r="P328" t="s">
        <v>1168</v>
      </c>
      <c r="Q328" t="str">
        <f>HYPERLINK(".\links\NR-LIGHT\TI-539-NR-LIGHT.txt","NR-LIGHT")</f>
        <v>NR-LIGHT</v>
      </c>
      <c r="R328">
        <v>5.9999999999999997E-13</v>
      </c>
      <c r="S328">
        <v>72.7</v>
      </c>
      <c r="T328" t="str">
        <f>HYPERLINK(".\links\NR-LIGHT\TI-539-NR-LIGHT.txt","AGAP011630-PA")</f>
        <v>AGAP011630-PA</v>
      </c>
      <c r="U328" t="str">
        <f>HYPERLINK("http://www.ncbi.nlm.nih.gov/sutils/blink.cgi?pid=158301127","2E-013")</f>
        <v>2E-013</v>
      </c>
      <c r="V328" t="str">
        <f>HYPERLINK("http://www.ncbi.nlm.nih.gov/protein/158301127","gi|158301127")</f>
        <v>gi|158301127</v>
      </c>
      <c r="W328">
        <v>76.599999999999994</v>
      </c>
      <c r="X328">
        <v>96</v>
      </c>
      <c r="Y328">
        <v>120</v>
      </c>
      <c r="Z328">
        <v>42</v>
      </c>
      <c r="AA328">
        <v>81</v>
      </c>
      <c r="AB328">
        <v>56</v>
      </c>
      <c r="AC328">
        <v>1</v>
      </c>
      <c r="AD328">
        <v>24</v>
      </c>
      <c r="AE328">
        <v>4</v>
      </c>
      <c r="AF328">
        <v>1</v>
      </c>
      <c r="AG328"/>
      <c r="AH328" t="s">
        <v>13</v>
      </c>
      <c r="AI328" t="s">
        <v>51</v>
      </c>
      <c r="AJ328" t="s">
        <v>275</v>
      </c>
      <c r="AK328" t="s">
        <v>8</v>
      </c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 t="str">
        <f>HYPERLINK(".\links\PREV-RHOD-PEP\TI-539-PREV-RHOD-PEP.txt","Contig17940_72")</f>
        <v>Contig17940_72</v>
      </c>
      <c r="AZ328" s="3">
        <v>4.0000000000000002E-33</v>
      </c>
      <c r="BA328" t="s">
        <v>1079</v>
      </c>
      <c r="BB328">
        <v>135</v>
      </c>
      <c r="BC328">
        <v>98</v>
      </c>
      <c r="BD328">
        <v>126</v>
      </c>
      <c r="BE328">
        <v>66</v>
      </c>
      <c r="BF328">
        <v>79</v>
      </c>
      <c r="BG328">
        <v>34</v>
      </c>
      <c r="BH328">
        <v>1</v>
      </c>
      <c r="BI328">
        <v>28</v>
      </c>
      <c r="BJ328">
        <v>2</v>
      </c>
      <c r="BK328">
        <v>1</v>
      </c>
      <c r="BL328" t="s">
        <v>8</v>
      </c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 t="s">
        <v>8</v>
      </c>
      <c r="CD328"/>
      <c r="CE328"/>
      <c r="CF328" t="s">
        <v>8</v>
      </c>
      <c r="CG328"/>
      <c r="CH328"/>
      <c r="CI328" t="s">
        <v>8</v>
      </c>
      <c r="CJ328"/>
      <c r="CK328" t="s">
        <v>8</v>
      </c>
      <c r="CL328"/>
      <c r="CM328" t="s">
        <v>8</v>
      </c>
      <c r="CN328"/>
      <c r="CO328" t="s">
        <v>8</v>
      </c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 t="s">
        <v>8</v>
      </c>
      <c r="DD328"/>
      <c r="DE328"/>
      <c r="DF328"/>
      <c r="DG328"/>
      <c r="DH328"/>
      <c r="DI328"/>
      <c r="DJ328"/>
      <c r="DK328"/>
      <c r="DL328"/>
      <c r="DM328"/>
      <c r="DN328"/>
      <c r="DO328"/>
      <c r="DP328"/>
    </row>
    <row r="329" spans="1:120" s="5" customFormat="1">
      <c r="A329" s="6" t="str">
        <f>HYPERLINK(".\links\pep\TI-540-pep.txt","TI-540")</f>
        <v>TI-540</v>
      </c>
      <c r="B329" s="6">
        <v>540</v>
      </c>
      <c r="C329" s="6" t="s">
        <v>15</v>
      </c>
      <c r="D329" s="6">
        <v>13</v>
      </c>
      <c r="E329" s="6">
        <v>0</v>
      </c>
      <c r="F329" s="6" t="str">
        <f>HYPERLINK(".\links\cds\TI-540-cds.txt","TI-540")</f>
        <v>TI-540</v>
      </c>
      <c r="G329" s="6">
        <v>42</v>
      </c>
      <c r="H329" s="6"/>
      <c r="I329" s="6" t="s">
        <v>8</v>
      </c>
      <c r="J329" s="6" t="s">
        <v>6</v>
      </c>
      <c r="K329" s="6">
        <v>1</v>
      </c>
      <c r="L329" s="6">
        <v>0</v>
      </c>
      <c r="M329" s="6">
        <f t="shared" si="16"/>
        <v>1</v>
      </c>
      <c r="N329" s="6">
        <f t="shared" si="17"/>
        <v>1</v>
      </c>
      <c r="O329" s="6" t="s">
        <v>1170</v>
      </c>
      <c r="P329" s="6" t="s">
        <v>1171</v>
      </c>
      <c r="Q329" s="6"/>
      <c r="R329" s="6"/>
      <c r="S329" s="6"/>
      <c r="T329" s="6" t="s">
        <v>8</v>
      </c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 t="s">
        <v>8</v>
      </c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 t="s">
        <v>8</v>
      </c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 t="s">
        <v>8</v>
      </c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 t="s">
        <v>8</v>
      </c>
      <c r="CD329" s="6"/>
      <c r="CE329" s="6"/>
      <c r="CF329" s="6" t="s">
        <v>8</v>
      </c>
      <c r="CG329" s="6"/>
      <c r="CH329" s="6"/>
      <c r="CI329" s="6" t="s">
        <v>8</v>
      </c>
      <c r="CJ329" s="6"/>
      <c r="CK329" s="6" t="s">
        <v>8</v>
      </c>
      <c r="CL329" s="6"/>
      <c r="CM329" s="6" t="s">
        <v>8</v>
      </c>
      <c r="CN329" s="6"/>
      <c r="CO329" s="6" t="s">
        <v>8</v>
      </c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 t="s">
        <v>8</v>
      </c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</row>
    <row r="330" spans="1:120" s="5" customFormat="1">
      <c r="A330" s="6" t="str">
        <f>HYPERLINK(".\links\pep\TI-541-pep.txt","TI-541")</f>
        <v>TI-541</v>
      </c>
      <c r="B330" s="6">
        <v>541</v>
      </c>
      <c r="C330" s="6" t="s">
        <v>10</v>
      </c>
      <c r="D330" s="6">
        <v>136</v>
      </c>
      <c r="E330" s="6">
        <v>0</v>
      </c>
      <c r="F330" s="6" t="str">
        <f>HYPERLINK(".\links\cds\TI-541-cds.txt","TI-541")</f>
        <v>TI-541</v>
      </c>
      <c r="G330" s="6">
        <v>405</v>
      </c>
      <c r="H330" s="6"/>
      <c r="I330" s="6" t="s">
        <v>8</v>
      </c>
      <c r="J330" s="6" t="s">
        <v>8</v>
      </c>
      <c r="K330" s="6">
        <v>0</v>
      </c>
      <c r="L330" s="6">
        <v>1</v>
      </c>
      <c r="M330" s="6">
        <f t="shared" si="16"/>
        <v>-1</v>
      </c>
      <c r="N330" s="6">
        <f t="shared" si="17"/>
        <v>1</v>
      </c>
      <c r="O330" s="6" t="s">
        <v>1170</v>
      </c>
      <c r="P330" s="6" t="s">
        <v>1171</v>
      </c>
      <c r="Q330" s="6"/>
      <c r="R330" s="6"/>
      <c r="S330" s="6"/>
      <c r="T330" s="6" t="str">
        <f>HYPERLINK(".\links\NR-LIGHT\TI-541-NR-LIGHT.txt","neuregulin beta-2b")</f>
        <v>neuregulin beta-2b</v>
      </c>
      <c r="U330" s="6" t="str">
        <f>HYPERLINK("http://www.ncbi.nlm.nih.gov/sutils/blink.cgi?pid=2961139","1.8")</f>
        <v>1.8</v>
      </c>
      <c r="V330" s="6" t="str">
        <f>HYPERLINK("http://www.ncbi.nlm.nih.gov/protein/2961139","gi|2961139")</f>
        <v>gi|2961139</v>
      </c>
      <c r="W330" s="6">
        <v>33.5</v>
      </c>
      <c r="X330" s="6">
        <v>42</v>
      </c>
      <c r="Y330" s="6">
        <v>480</v>
      </c>
      <c r="Z330" s="6">
        <v>39</v>
      </c>
      <c r="AA330" s="6">
        <v>9</v>
      </c>
      <c r="AB330" s="6">
        <v>26</v>
      </c>
      <c r="AC330" s="6">
        <v>3</v>
      </c>
      <c r="AD330" s="6">
        <v>345</v>
      </c>
      <c r="AE330" s="6">
        <v>66</v>
      </c>
      <c r="AF330" s="6">
        <v>1</v>
      </c>
      <c r="AG330" s="6"/>
      <c r="AH330" s="6" t="s">
        <v>13</v>
      </c>
      <c r="AI330" s="6" t="s">
        <v>51</v>
      </c>
      <c r="AJ330" s="6" t="s">
        <v>126</v>
      </c>
      <c r="AK330" s="6" t="s">
        <v>8</v>
      </c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 t="str">
        <f>HYPERLINK(".\links\PREV-RHOD-PEP\TI-541-PREV-RHOD-PEP.txt","Contig17920_108")</f>
        <v>Contig17920_108</v>
      </c>
      <c r="AZ330" s="8">
        <v>1.9999999999999999E-36</v>
      </c>
      <c r="BA330" s="6" t="s">
        <v>1156</v>
      </c>
      <c r="BB330" s="6">
        <v>146</v>
      </c>
      <c r="BC330" s="6">
        <v>125</v>
      </c>
      <c r="BD330" s="6">
        <v>757</v>
      </c>
      <c r="BE330" s="6">
        <v>62</v>
      </c>
      <c r="BF330" s="6">
        <v>17</v>
      </c>
      <c r="BG330" s="6">
        <v>48</v>
      </c>
      <c r="BH330" s="6">
        <v>6</v>
      </c>
      <c r="BI330" s="6">
        <v>1</v>
      </c>
      <c r="BJ330" s="6">
        <v>15</v>
      </c>
      <c r="BK330" s="6">
        <v>1</v>
      </c>
      <c r="BL330" s="6" t="s">
        <v>8</v>
      </c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 t="s">
        <v>8</v>
      </c>
      <c r="CD330" s="6"/>
      <c r="CE330" s="6"/>
      <c r="CF330" s="6" t="s">
        <v>8</v>
      </c>
      <c r="CG330" s="6"/>
      <c r="CH330" s="6"/>
      <c r="CI330" s="6" t="s">
        <v>8</v>
      </c>
      <c r="CJ330" s="6"/>
      <c r="CK330" s="6" t="s">
        <v>8</v>
      </c>
      <c r="CL330" s="6"/>
      <c r="CM330" s="6" t="s">
        <v>8</v>
      </c>
      <c r="CN330" s="6"/>
      <c r="CO330" s="6" t="s">
        <v>8</v>
      </c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 t="s">
        <v>8</v>
      </c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</row>
    <row r="331" spans="1:120" s="5" customFormat="1">
      <c r="A331" t="str">
        <f>HYPERLINK(".\links\pep\TI-543-pep.txt","TI-543")</f>
        <v>TI-543</v>
      </c>
      <c r="B331">
        <v>543</v>
      </c>
      <c r="C331" t="s">
        <v>27</v>
      </c>
      <c r="D331">
        <v>80</v>
      </c>
      <c r="E331">
        <v>0</v>
      </c>
      <c r="F331" t="str">
        <f>HYPERLINK(".\links\cds\TI-543-cds.txt","TI-543")</f>
        <v>TI-543</v>
      </c>
      <c r="G331">
        <v>243</v>
      </c>
      <c r="H331"/>
      <c r="I331" t="s">
        <v>8</v>
      </c>
      <c r="J331" t="s">
        <v>6</v>
      </c>
      <c r="K331">
        <v>6</v>
      </c>
      <c r="L331">
        <v>1</v>
      </c>
      <c r="M331">
        <f t="shared" si="16"/>
        <v>5</v>
      </c>
      <c r="N331">
        <f t="shared" si="17"/>
        <v>5</v>
      </c>
      <c r="O331" t="s">
        <v>1349</v>
      </c>
      <c r="P331" t="s">
        <v>1178</v>
      </c>
      <c r="Q331" t="str">
        <f>HYPERLINK(".\links\NR-LIGHT\TI-543-NR-LIGHT.txt","NR-LIGHT")</f>
        <v>NR-LIGHT</v>
      </c>
      <c r="R331" s="3">
        <v>9.9999999999999995E-21</v>
      </c>
      <c r="S331">
        <v>24</v>
      </c>
      <c r="T331" t="str">
        <f>HYPERLINK(".\links\NR-LIGHT\TI-543-NR-LIGHT.txt","NADH dehydrogenase subunit 2")</f>
        <v>NADH dehydrogenase subunit 2</v>
      </c>
      <c r="U331" t="str">
        <f>HYPERLINK("http://www.ncbi.nlm.nih.gov/sutils/blink.cgi?pid=11182463","1E-020")</f>
        <v>1E-020</v>
      </c>
      <c r="V331" t="str">
        <f>HYPERLINK("http://www.ncbi.nlm.nih.gov/protein/11182463","gi|11182463")</f>
        <v>gi|11182463</v>
      </c>
      <c r="W331">
        <v>100</v>
      </c>
      <c r="X331">
        <v>79</v>
      </c>
      <c r="Y331">
        <v>332</v>
      </c>
      <c r="Z331">
        <v>62</v>
      </c>
      <c r="AA331">
        <v>24</v>
      </c>
      <c r="AB331">
        <v>30</v>
      </c>
      <c r="AC331">
        <v>0</v>
      </c>
      <c r="AD331">
        <v>31</v>
      </c>
      <c r="AE331">
        <v>1</v>
      </c>
      <c r="AF331">
        <v>1</v>
      </c>
      <c r="AG331"/>
      <c r="AH331" t="s">
        <v>13</v>
      </c>
      <c r="AI331" t="s">
        <v>51</v>
      </c>
      <c r="AJ331" t="s">
        <v>272</v>
      </c>
      <c r="AK331" t="str">
        <f>HYPERLINK(".\links\SWISSP\TI-543-SWISSP.txt","NADH-ubiquinone oxidoreductase chain 2 OS=Hylobates lar GN=MT-ND2 PE=3 SV=1")</f>
        <v>NADH-ubiquinone oxidoreductase chain 2 OS=Hylobates lar GN=MT-ND2 PE=3 SV=1</v>
      </c>
      <c r="AL331" t="str">
        <f>HYPERLINK("http://www.uniprot.org/uniprot/Q95704","4E-006")</f>
        <v>4E-006</v>
      </c>
      <c r="AM331" t="s">
        <v>250</v>
      </c>
      <c r="AN331">
        <v>50.1</v>
      </c>
      <c r="AO331">
        <v>82</v>
      </c>
      <c r="AP331">
        <v>347</v>
      </c>
      <c r="AQ331">
        <v>31</v>
      </c>
      <c r="AR331">
        <v>24</v>
      </c>
      <c r="AS331">
        <v>57</v>
      </c>
      <c r="AT331">
        <v>3</v>
      </c>
      <c r="AU331">
        <v>31</v>
      </c>
      <c r="AV331">
        <v>1</v>
      </c>
      <c r="AW331">
        <v>1</v>
      </c>
      <c r="AX331" t="s">
        <v>251</v>
      </c>
      <c r="AY331" t="s">
        <v>8</v>
      </c>
      <c r="AZ331"/>
      <c r="BA331"/>
      <c r="BB331"/>
      <c r="BC331"/>
      <c r="BD331"/>
      <c r="BE331"/>
      <c r="BF331"/>
      <c r="BG331"/>
      <c r="BH331"/>
      <c r="BI331"/>
      <c r="BJ331"/>
      <c r="BK331"/>
      <c r="BL331" t="s">
        <v>950</v>
      </c>
      <c r="BM331">
        <f>HYPERLINK(".\links\GO\TI-543-GO.txt",0.00003)</f>
        <v>3.0000000000000001E-5</v>
      </c>
      <c r="BN331" t="s">
        <v>373</v>
      </c>
      <c r="BO331" t="s">
        <v>373</v>
      </c>
      <c r="BP331"/>
      <c r="BQ331" t="s">
        <v>374</v>
      </c>
      <c r="BR331">
        <v>5.0000000000000001E-4</v>
      </c>
      <c r="BS331" t="s">
        <v>608</v>
      </c>
      <c r="BT331" t="s">
        <v>323</v>
      </c>
      <c r="BU331" t="s">
        <v>334</v>
      </c>
      <c r="BV331" t="s">
        <v>609</v>
      </c>
      <c r="BW331">
        <v>5.0000000000000001E-4</v>
      </c>
      <c r="BX331" t="s">
        <v>951</v>
      </c>
      <c r="BY331" t="s">
        <v>373</v>
      </c>
      <c r="BZ331"/>
      <c r="CA331" t="s">
        <v>952</v>
      </c>
      <c r="CB331">
        <v>5.0000000000000001E-4</v>
      </c>
      <c r="CC331" t="s">
        <v>8</v>
      </c>
      <c r="CD331"/>
      <c r="CE331"/>
      <c r="CF331" t="s">
        <v>8</v>
      </c>
      <c r="CG331"/>
      <c r="CH331"/>
      <c r="CI331" t="s">
        <v>8</v>
      </c>
      <c r="CJ331"/>
      <c r="CK331" t="s">
        <v>8</v>
      </c>
      <c r="CL331"/>
      <c r="CM331" t="s">
        <v>8</v>
      </c>
      <c r="CN331"/>
      <c r="CO331" t="s">
        <v>8</v>
      </c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 t="s">
        <v>8</v>
      </c>
      <c r="DD331"/>
      <c r="DE331"/>
      <c r="DF331"/>
      <c r="DG331"/>
      <c r="DH331"/>
      <c r="DI331"/>
      <c r="DJ331"/>
      <c r="DK331"/>
      <c r="DL331"/>
      <c r="DM331"/>
      <c r="DN331"/>
      <c r="DO331"/>
      <c r="DP331"/>
    </row>
    <row r="332" spans="1:120" s="5" customFormat="1">
      <c r="A332" s="6" t="str">
        <f>HYPERLINK(".\links\pep\TI-544-pep.txt","TI-544")</f>
        <v>TI-544</v>
      </c>
      <c r="B332" s="6">
        <v>544</v>
      </c>
      <c r="C332" s="6" t="s">
        <v>23</v>
      </c>
      <c r="D332" s="6">
        <v>81</v>
      </c>
      <c r="E332" s="7">
        <v>11.11111</v>
      </c>
      <c r="F332" s="6" t="str">
        <f>HYPERLINK(".\links\cds\TI-544-cds.txt","TI-544")</f>
        <v>TI-544</v>
      </c>
      <c r="G332" s="6">
        <v>246</v>
      </c>
      <c r="H332" s="6" t="s">
        <v>24</v>
      </c>
      <c r="I332" s="6" t="s">
        <v>8</v>
      </c>
      <c r="J332" s="6" t="s">
        <v>6</v>
      </c>
      <c r="K332" s="6">
        <v>52</v>
      </c>
      <c r="L332" s="6">
        <v>60</v>
      </c>
      <c r="M332" s="6">
        <f t="shared" si="16"/>
        <v>-8</v>
      </c>
      <c r="N332" s="6">
        <f t="shared" si="17"/>
        <v>8</v>
      </c>
      <c r="O332" s="6" t="s">
        <v>1170</v>
      </c>
      <c r="P332" s="6" t="s">
        <v>1171</v>
      </c>
      <c r="Q332" s="6"/>
      <c r="R332" s="6"/>
      <c r="S332" s="6"/>
      <c r="T332" s="6" t="s">
        <v>8</v>
      </c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 t="s">
        <v>8</v>
      </c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 t="s">
        <v>8</v>
      </c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 t="s">
        <v>8</v>
      </c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 t="s">
        <v>8</v>
      </c>
      <c r="CD332" s="6"/>
      <c r="CE332" s="6"/>
      <c r="CF332" s="6" t="s">
        <v>8</v>
      </c>
      <c r="CG332" s="6"/>
      <c r="CH332" s="6"/>
      <c r="CI332" s="6" t="s">
        <v>8</v>
      </c>
      <c r="CJ332" s="6"/>
      <c r="CK332" s="6" t="s">
        <v>8</v>
      </c>
      <c r="CL332" s="6"/>
      <c r="CM332" s="6" t="s">
        <v>8</v>
      </c>
      <c r="CN332" s="6"/>
      <c r="CO332" s="6" t="s">
        <v>8</v>
      </c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 t="s">
        <v>8</v>
      </c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</row>
    <row r="333" spans="1:120" s="5" customFormat="1">
      <c r="A333" s="6" t="str">
        <f>HYPERLINK(".\links\pep\TI-545-pep.txt","TI-545")</f>
        <v>TI-545</v>
      </c>
      <c r="B333" s="6">
        <v>545</v>
      </c>
      <c r="C333" s="6" t="s">
        <v>11</v>
      </c>
      <c r="D333" s="6">
        <v>35</v>
      </c>
      <c r="E333" s="6">
        <v>0</v>
      </c>
      <c r="F333" s="6" t="str">
        <f>HYPERLINK(".\links\cds\TI-545-cds.txt","TI-545")</f>
        <v>TI-545</v>
      </c>
      <c r="G333" s="6">
        <v>108</v>
      </c>
      <c r="H333" s="6"/>
      <c r="I333" s="6" t="s">
        <v>8</v>
      </c>
      <c r="J333" s="6" t="s">
        <v>6</v>
      </c>
      <c r="K333" s="6">
        <v>1</v>
      </c>
      <c r="L333" s="6">
        <v>1</v>
      </c>
      <c r="M333" s="6">
        <f t="shared" ref="M333:M367" si="18">K333-L333</f>
        <v>0</v>
      </c>
      <c r="N333" s="6">
        <f t="shared" ref="N333:N368" si="19">ABS(K333-L333)</f>
        <v>0</v>
      </c>
      <c r="O333" s="6" t="s">
        <v>1170</v>
      </c>
      <c r="P333" s="6" t="s">
        <v>1171</v>
      </c>
      <c r="Q333" s="6"/>
      <c r="R333" s="6"/>
      <c r="S333" s="6"/>
      <c r="T333" s="6" t="s">
        <v>8</v>
      </c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 t="s">
        <v>8</v>
      </c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 t="s">
        <v>8</v>
      </c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 t="s">
        <v>8</v>
      </c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 t="s">
        <v>8</v>
      </c>
      <c r="CD333" s="6"/>
      <c r="CE333" s="6"/>
      <c r="CF333" s="6" t="s">
        <v>8</v>
      </c>
      <c r="CG333" s="6"/>
      <c r="CH333" s="6"/>
      <c r="CI333" s="6" t="s">
        <v>8</v>
      </c>
      <c r="CJ333" s="6"/>
      <c r="CK333" s="6" t="s">
        <v>8</v>
      </c>
      <c r="CL333" s="6"/>
      <c r="CM333" s="6" t="s">
        <v>8</v>
      </c>
      <c r="CN333" s="6"/>
      <c r="CO333" s="6" t="s">
        <v>8</v>
      </c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 t="s">
        <v>8</v>
      </c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</row>
    <row r="334" spans="1:120" s="5" customFormat="1">
      <c r="A334" t="str">
        <f>HYPERLINK(".\links\pep\TI-547-pep.txt","TI-547")</f>
        <v>TI-547</v>
      </c>
      <c r="B334">
        <v>547</v>
      </c>
      <c r="C334" t="s">
        <v>16</v>
      </c>
      <c r="D334">
        <v>162</v>
      </c>
      <c r="E334" s="2">
        <v>4.3209879999999998</v>
      </c>
      <c r="F334" t="str">
        <f>HYPERLINK(".\links\cds\TI-547-cds.txt","TI-547")</f>
        <v>TI-547</v>
      </c>
      <c r="G334">
        <v>484</v>
      </c>
      <c r="H334" t="s">
        <v>24</v>
      </c>
      <c r="I334" t="s">
        <v>8</v>
      </c>
      <c r="J334" t="s">
        <v>8</v>
      </c>
      <c r="K334">
        <v>0</v>
      </c>
      <c r="L334">
        <v>1</v>
      </c>
      <c r="M334">
        <f t="shared" si="18"/>
        <v>-1</v>
      </c>
      <c r="N334">
        <f t="shared" si="19"/>
        <v>1</v>
      </c>
      <c r="O334" t="s">
        <v>1350</v>
      </c>
      <c r="P334" t="s">
        <v>1187</v>
      </c>
      <c r="Q334" t="str">
        <f>HYPERLINK(".\links\GO\TI-547-GO.txt","GO")</f>
        <v>GO</v>
      </c>
      <c r="R334" s="3">
        <v>4.9999999999999997E-50</v>
      </c>
      <c r="S334">
        <v>44.7</v>
      </c>
      <c r="T334" t="str">
        <f>HYPERLINK(".\links\NR-LIGHT\TI-547-NR-LIGHT.txt","arginine kinase")</f>
        <v>arginine kinase</v>
      </c>
      <c r="U334" t="str">
        <f>HYPERLINK("http://www.ncbi.nlm.nih.gov/sutils/blink.cgi?pid=116235665","3E-076")</f>
        <v>3E-076</v>
      </c>
      <c r="V334" t="str">
        <f>HYPERLINK("http://www.ncbi.nlm.nih.gov/protein/116235665","gi|116235665")</f>
        <v>gi|116235665</v>
      </c>
      <c r="W334">
        <v>285</v>
      </c>
      <c r="X334">
        <v>158</v>
      </c>
      <c r="Y334">
        <v>356</v>
      </c>
      <c r="Z334">
        <v>86</v>
      </c>
      <c r="AA334">
        <v>45</v>
      </c>
      <c r="AB334">
        <v>22</v>
      </c>
      <c r="AC334">
        <v>0</v>
      </c>
      <c r="AD334">
        <v>61</v>
      </c>
      <c r="AE334">
        <v>4</v>
      </c>
      <c r="AF334">
        <v>1</v>
      </c>
      <c r="AG334"/>
      <c r="AH334" t="s">
        <v>13</v>
      </c>
      <c r="AI334" t="s">
        <v>51</v>
      </c>
      <c r="AJ334" t="s">
        <v>279</v>
      </c>
      <c r="AK334" t="str">
        <f>HYPERLINK(".\links\SWISSP\TI-547-SWISSP.txt","Arginine kinase OS=Apis mellifera GN=ARGK PE=2 SV=1")</f>
        <v>Arginine kinase OS=Apis mellifera GN=ARGK PE=2 SV=1</v>
      </c>
      <c r="AL334" t="str">
        <f>HYPERLINK("http://www.uniprot.org/uniprot/O61367","1E-069")</f>
        <v>1E-069</v>
      </c>
      <c r="AM334" t="s">
        <v>82</v>
      </c>
      <c r="AN334">
        <v>261</v>
      </c>
      <c r="AO334">
        <v>157</v>
      </c>
      <c r="AP334">
        <v>355</v>
      </c>
      <c r="AQ334">
        <v>78</v>
      </c>
      <c r="AR334">
        <v>45</v>
      </c>
      <c r="AS334">
        <v>34</v>
      </c>
      <c r="AT334">
        <v>0</v>
      </c>
      <c r="AU334">
        <v>61</v>
      </c>
      <c r="AV334">
        <v>5</v>
      </c>
      <c r="AW334">
        <v>1</v>
      </c>
      <c r="AX334" t="s">
        <v>83</v>
      </c>
      <c r="AY334" t="str">
        <f>HYPERLINK(".\links\PREV-RHOD-PEP\TI-547-PREV-RHOD-PEP.txt","Contig17952_84")</f>
        <v>Contig17952_84</v>
      </c>
      <c r="AZ334" s="3">
        <v>8.9999999999999995E-15</v>
      </c>
      <c r="BA334" t="s">
        <v>1006</v>
      </c>
      <c r="BB334">
        <v>75.5</v>
      </c>
      <c r="BC334">
        <v>55</v>
      </c>
      <c r="BD334">
        <v>157</v>
      </c>
      <c r="BE334">
        <v>66</v>
      </c>
      <c r="BF334">
        <v>36</v>
      </c>
      <c r="BG334">
        <v>19</v>
      </c>
      <c r="BH334">
        <v>0</v>
      </c>
      <c r="BI334">
        <v>61</v>
      </c>
      <c r="BJ334">
        <v>4</v>
      </c>
      <c r="BK334">
        <v>1</v>
      </c>
      <c r="BL334" t="s">
        <v>428</v>
      </c>
      <c r="BM334">
        <f>HYPERLINK(".\links\GO\TI-547-GO.txt",3E-64)</f>
        <v>3.0000000000000001E-64</v>
      </c>
      <c r="BN334" t="s">
        <v>429</v>
      </c>
      <c r="BO334" t="s">
        <v>345</v>
      </c>
      <c r="BP334" t="s">
        <v>346</v>
      </c>
      <c r="BQ334" t="s">
        <v>430</v>
      </c>
      <c r="BR334" s="3">
        <v>1E-25</v>
      </c>
      <c r="BS334" t="s">
        <v>431</v>
      </c>
      <c r="BT334" t="s">
        <v>323</v>
      </c>
      <c r="BU334" t="s">
        <v>334</v>
      </c>
      <c r="BV334" t="s">
        <v>432</v>
      </c>
      <c r="BW334" s="3">
        <v>1E-25</v>
      </c>
      <c r="BX334" t="s">
        <v>433</v>
      </c>
      <c r="BY334" t="s">
        <v>345</v>
      </c>
      <c r="BZ334" t="s">
        <v>346</v>
      </c>
      <c r="CA334" t="s">
        <v>434</v>
      </c>
      <c r="CB334" s="3">
        <v>1E-25</v>
      </c>
      <c r="CC334" t="s">
        <v>8</v>
      </c>
      <c r="CD334"/>
      <c r="CE334"/>
      <c r="CF334" t="s">
        <v>8</v>
      </c>
      <c r="CG334"/>
      <c r="CH334"/>
      <c r="CI334" t="s">
        <v>8</v>
      </c>
      <c r="CJ334"/>
      <c r="CK334" t="s">
        <v>8</v>
      </c>
      <c r="CL334"/>
      <c r="CM334" t="s">
        <v>8</v>
      </c>
      <c r="CN334"/>
      <c r="CO334" t="s">
        <v>8</v>
      </c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 t="s">
        <v>8</v>
      </c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1:120" s="5" customFormat="1">
      <c r="A335" t="str">
        <f>HYPERLINK(".\links\pep\TI-548-pep.txt","TI-548")</f>
        <v>TI-548</v>
      </c>
      <c r="B335">
        <v>548</v>
      </c>
      <c r="C335" t="s">
        <v>7</v>
      </c>
      <c r="D335">
        <v>315</v>
      </c>
      <c r="E335">
        <v>0</v>
      </c>
      <c r="F335" t="str">
        <f>HYPERLINK(".\links\cds\TI-548-cds.txt","TI-548")</f>
        <v>TI-548</v>
      </c>
      <c r="G335">
        <v>944</v>
      </c>
      <c r="H335"/>
      <c r="I335" t="s">
        <v>29</v>
      </c>
      <c r="J335" t="s">
        <v>8</v>
      </c>
      <c r="K335">
        <v>1</v>
      </c>
      <c r="L335">
        <v>5</v>
      </c>
      <c r="M335">
        <f t="shared" si="18"/>
        <v>-4</v>
      </c>
      <c r="N335">
        <f t="shared" si="19"/>
        <v>4</v>
      </c>
      <c r="O335" t="s">
        <v>1350</v>
      </c>
      <c r="P335" t="s">
        <v>1187</v>
      </c>
      <c r="Q335" t="str">
        <f>HYPERLINK(".\links\GO\TI-548-GO.txt","GO")</f>
        <v>GO</v>
      </c>
      <c r="R335">
        <v>0</v>
      </c>
      <c r="S335">
        <v>87.2</v>
      </c>
      <c r="T335" t="str">
        <f>HYPERLINK(".\links\NR-LIGHT\TI-548-NR-LIGHT.txt","arginine kinase")</f>
        <v>arginine kinase</v>
      </c>
      <c r="U335" t="str">
        <f>HYPERLINK("http://www.ncbi.nlm.nih.gov/sutils/blink.cgi?pid=116235665","0.0")</f>
        <v>0.0</v>
      </c>
      <c r="V335" t="str">
        <f>HYPERLINK("http://www.ncbi.nlm.nih.gov/protein/116235665","gi|116235665")</f>
        <v>gi|116235665</v>
      </c>
      <c r="W335">
        <v>646</v>
      </c>
      <c r="X335">
        <v>314</v>
      </c>
      <c r="Y335">
        <v>356</v>
      </c>
      <c r="Z335">
        <v>97</v>
      </c>
      <c r="AA335">
        <v>88</v>
      </c>
      <c r="AB335">
        <v>7</v>
      </c>
      <c r="AC335">
        <v>0</v>
      </c>
      <c r="AD335">
        <v>1</v>
      </c>
      <c r="AE335">
        <v>1</v>
      </c>
      <c r="AF335">
        <v>1</v>
      </c>
      <c r="AG335"/>
      <c r="AH335" t="s">
        <v>13</v>
      </c>
      <c r="AI335" t="s">
        <v>51</v>
      </c>
      <c r="AJ335" t="s">
        <v>279</v>
      </c>
      <c r="AK335" t="str">
        <f>HYPERLINK(".\links\SWISSP\TI-548-SWISSP.txt","Arginine kinase OS=Schistocerca americana GN=ARGK PE=2 SV=1")</f>
        <v>Arginine kinase OS=Schistocerca americana GN=ARGK PE=2 SV=1</v>
      </c>
      <c r="AL335" t="str">
        <f>HYPERLINK("http://www.uniprot.org/uniprot/P91798","1E-166")</f>
        <v>1E-166</v>
      </c>
      <c r="AM335" t="s">
        <v>252</v>
      </c>
      <c r="AN335">
        <v>585</v>
      </c>
      <c r="AO335">
        <v>314</v>
      </c>
      <c r="AP335">
        <v>356</v>
      </c>
      <c r="AQ335">
        <v>86</v>
      </c>
      <c r="AR335">
        <v>88</v>
      </c>
      <c r="AS335">
        <v>43</v>
      </c>
      <c r="AT335">
        <v>0</v>
      </c>
      <c r="AU335">
        <v>1</v>
      </c>
      <c r="AV335">
        <v>1</v>
      </c>
      <c r="AW335">
        <v>1</v>
      </c>
      <c r="AX335" t="s">
        <v>253</v>
      </c>
      <c r="AY335" t="str">
        <f>HYPERLINK(".\links\PREV-RHOD-PEP\TI-548-PREV-RHOD-PEP.txt","Contig17952_84")</f>
        <v>Contig17952_84</v>
      </c>
      <c r="AZ335" s="3">
        <v>5.0000000000000002E-62</v>
      </c>
      <c r="BA335" t="s">
        <v>1006</v>
      </c>
      <c r="BB335">
        <v>234</v>
      </c>
      <c r="BC335">
        <v>115</v>
      </c>
      <c r="BD335">
        <v>157</v>
      </c>
      <c r="BE335">
        <v>97</v>
      </c>
      <c r="BF335">
        <v>74</v>
      </c>
      <c r="BG335">
        <v>3</v>
      </c>
      <c r="BH335">
        <v>0</v>
      </c>
      <c r="BI335">
        <v>1</v>
      </c>
      <c r="BJ335">
        <v>1</v>
      </c>
      <c r="BK335">
        <v>1</v>
      </c>
      <c r="BL335" t="s">
        <v>428</v>
      </c>
      <c r="BM335">
        <f>HYPERLINK(".\links\GO\TI-548-GO.txt",0)</f>
        <v>0</v>
      </c>
      <c r="BN335" t="s">
        <v>429</v>
      </c>
      <c r="BO335" t="s">
        <v>345</v>
      </c>
      <c r="BP335" t="s">
        <v>346</v>
      </c>
      <c r="BQ335" t="s">
        <v>430</v>
      </c>
      <c r="BR335" s="3">
        <v>6E-68</v>
      </c>
      <c r="BS335" t="s">
        <v>431</v>
      </c>
      <c r="BT335" t="s">
        <v>323</v>
      </c>
      <c r="BU335" t="s">
        <v>334</v>
      </c>
      <c r="BV335" t="s">
        <v>432</v>
      </c>
      <c r="BW335" s="3">
        <v>6E-68</v>
      </c>
      <c r="BX335" t="s">
        <v>433</v>
      </c>
      <c r="BY335" t="s">
        <v>345</v>
      </c>
      <c r="BZ335" t="s">
        <v>346</v>
      </c>
      <c r="CA335" t="s">
        <v>434</v>
      </c>
      <c r="CB335" s="3">
        <v>6E-68</v>
      </c>
      <c r="CC335" t="s">
        <v>8</v>
      </c>
      <c r="CD335"/>
      <c r="CE335"/>
      <c r="CF335" t="s">
        <v>8</v>
      </c>
      <c r="CG335"/>
      <c r="CH335"/>
      <c r="CI335" t="s">
        <v>8</v>
      </c>
      <c r="CJ335"/>
      <c r="CK335" t="s">
        <v>8</v>
      </c>
      <c r="CL335"/>
      <c r="CM335" t="s">
        <v>8</v>
      </c>
      <c r="CN335"/>
      <c r="CO335" t="s">
        <v>8</v>
      </c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 t="s">
        <v>8</v>
      </c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1:120" s="5" customFormat="1">
      <c r="A336" s="6" t="str">
        <f>HYPERLINK(".\links\pep\TI-549-pep.txt","TI-549")</f>
        <v>TI-549</v>
      </c>
      <c r="B336" s="6">
        <v>549</v>
      </c>
      <c r="C336" s="6" t="s">
        <v>7</v>
      </c>
      <c r="D336" s="6">
        <v>121</v>
      </c>
      <c r="E336" s="6">
        <v>0</v>
      </c>
      <c r="F336" s="6" t="str">
        <f>HYPERLINK(".\links\cds\TI-549-cds.txt","TI-549")</f>
        <v>TI-549</v>
      </c>
      <c r="G336" s="6">
        <v>362</v>
      </c>
      <c r="H336" s="6"/>
      <c r="I336" s="6" t="s">
        <v>29</v>
      </c>
      <c r="J336" s="6" t="s">
        <v>8</v>
      </c>
      <c r="K336" s="6">
        <v>1</v>
      </c>
      <c r="L336" s="6">
        <v>2</v>
      </c>
      <c r="M336" s="6">
        <f t="shared" si="18"/>
        <v>-1</v>
      </c>
      <c r="N336" s="6">
        <f t="shared" si="19"/>
        <v>1</v>
      </c>
      <c r="O336" s="6" t="s">
        <v>1170</v>
      </c>
      <c r="P336" s="6" t="s">
        <v>1171</v>
      </c>
      <c r="Q336" s="6"/>
      <c r="R336" s="6"/>
      <c r="S336" s="6"/>
      <c r="T336" s="6" t="str">
        <f>HYPERLINK(".\links\NR-LIGHT\TI-549-NR-LIGHT.txt","transcription factor IIIA - human (fragment) gi|551535|gb|AAA21873.1|")</f>
        <v>transcription factor IIIA - human (fragment) gi|551535|gb|AAA21873.1|</v>
      </c>
      <c r="U336" s="6" t="str">
        <f>HYPERLINK("http://www.ncbi.nlm.nih.gov/sutils/blink.cgi?pid=7443519","5.1")</f>
        <v>5.1</v>
      </c>
      <c r="V336" s="6" t="str">
        <f>HYPERLINK("http://www.ncbi.nlm.nih.gov/protein/7443519","gi|7443519")</f>
        <v>gi|7443519</v>
      </c>
      <c r="W336" s="6">
        <v>32</v>
      </c>
      <c r="X336" s="6">
        <v>90</v>
      </c>
      <c r="Y336" s="6">
        <v>338</v>
      </c>
      <c r="Z336" s="6">
        <v>25</v>
      </c>
      <c r="AA336" s="6">
        <v>27</v>
      </c>
      <c r="AB336" s="6">
        <v>69</v>
      </c>
      <c r="AC336" s="6">
        <v>10</v>
      </c>
      <c r="AD336" s="6">
        <v>94</v>
      </c>
      <c r="AE336" s="6">
        <v>17</v>
      </c>
      <c r="AF336" s="6">
        <v>1</v>
      </c>
      <c r="AG336" s="6"/>
      <c r="AH336" s="6" t="s">
        <v>13</v>
      </c>
      <c r="AI336" s="6" t="s">
        <v>51</v>
      </c>
      <c r="AJ336" s="6" t="s">
        <v>68</v>
      </c>
      <c r="AK336" s="6" t="s">
        <v>8</v>
      </c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 t="s">
        <v>8</v>
      </c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 t="s">
        <v>8</v>
      </c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 t="s">
        <v>8</v>
      </c>
      <c r="CD336" s="6"/>
      <c r="CE336" s="6"/>
      <c r="CF336" s="6" t="s">
        <v>8</v>
      </c>
      <c r="CG336" s="6"/>
      <c r="CH336" s="6"/>
      <c r="CI336" s="6" t="s">
        <v>8</v>
      </c>
      <c r="CJ336" s="6"/>
      <c r="CK336" s="6" t="s">
        <v>8</v>
      </c>
      <c r="CL336" s="6"/>
      <c r="CM336" s="6" t="s">
        <v>8</v>
      </c>
      <c r="CN336" s="6"/>
      <c r="CO336" s="6" t="s">
        <v>8</v>
      </c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 t="s">
        <v>8</v>
      </c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</row>
    <row r="337" spans="1:120" s="5" customFormat="1">
      <c r="A337" s="6" t="str">
        <f>HYPERLINK(".\links\pep\TI-550-pep.txt","TI-550")</f>
        <v>TI-550</v>
      </c>
      <c r="B337" s="6">
        <v>550</v>
      </c>
      <c r="C337" s="6" t="s">
        <v>11</v>
      </c>
      <c r="D337" s="6">
        <v>38</v>
      </c>
      <c r="E337" s="6">
        <v>0</v>
      </c>
      <c r="F337" s="6" t="str">
        <f>HYPERLINK(".\links\cds\TI-550-cds.txt","TI-550")</f>
        <v>TI-550</v>
      </c>
      <c r="G337" s="6">
        <v>117</v>
      </c>
      <c r="H337" s="6"/>
      <c r="I337" s="6" t="s">
        <v>8</v>
      </c>
      <c r="J337" s="6" t="s">
        <v>6</v>
      </c>
      <c r="K337" s="6">
        <v>0</v>
      </c>
      <c r="L337" s="6">
        <v>1</v>
      </c>
      <c r="M337" s="6">
        <f t="shared" si="18"/>
        <v>-1</v>
      </c>
      <c r="N337" s="6">
        <f t="shared" si="19"/>
        <v>1</v>
      </c>
      <c r="O337" s="6" t="s">
        <v>1170</v>
      </c>
      <c r="P337" s="6" t="s">
        <v>1171</v>
      </c>
      <c r="Q337" s="6"/>
      <c r="R337" s="6"/>
      <c r="S337" s="6"/>
      <c r="T337" s="6" t="s">
        <v>8</v>
      </c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 t="s">
        <v>8</v>
      </c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 t="s">
        <v>8</v>
      </c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 t="s">
        <v>8</v>
      </c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 t="s">
        <v>8</v>
      </c>
      <c r="CD337" s="6"/>
      <c r="CE337" s="6"/>
      <c r="CF337" s="6" t="s">
        <v>8</v>
      </c>
      <c r="CG337" s="6"/>
      <c r="CH337" s="6"/>
      <c r="CI337" s="6" t="s">
        <v>8</v>
      </c>
      <c r="CJ337" s="6"/>
      <c r="CK337" s="6" t="s">
        <v>8</v>
      </c>
      <c r="CL337" s="6"/>
      <c r="CM337" s="6" t="s">
        <v>8</v>
      </c>
      <c r="CN337" s="6"/>
      <c r="CO337" s="6" t="s">
        <v>8</v>
      </c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 t="s">
        <v>8</v>
      </c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</row>
    <row r="338" spans="1:120" s="5" customFormat="1">
      <c r="A338" t="str">
        <f>HYPERLINK(".\links\pep\TI-552-pep.txt","TI-552")</f>
        <v>TI-552</v>
      </c>
      <c r="B338">
        <v>552</v>
      </c>
      <c r="C338" t="s">
        <v>7</v>
      </c>
      <c r="D338">
        <v>129</v>
      </c>
      <c r="E338" s="2">
        <v>7.751938</v>
      </c>
      <c r="F338" t="str">
        <f>HYPERLINK(".\links\cds\TI-552-cds.txt","TI-552")</f>
        <v>TI-552</v>
      </c>
      <c r="G338">
        <v>390</v>
      </c>
      <c r="H338" t="s">
        <v>24</v>
      </c>
      <c r="I338" t="s">
        <v>29</v>
      </c>
      <c r="J338" t="s">
        <v>6</v>
      </c>
      <c r="K338">
        <v>1</v>
      </c>
      <c r="L338">
        <v>0</v>
      </c>
      <c r="M338">
        <f t="shared" si="18"/>
        <v>1</v>
      </c>
      <c r="N338">
        <f t="shared" si="19"/>
        <v>1</v>
      </c>
      <c r="O338" t="s">
        <v>1167</v>
      </c>
      <c r="P338" t="s">
        <v>1168</v>
      </c>
      <c r="Q338" t="str">
        <f>HYPERLINK(".\links\NR-LIGHT\TI-552-NR-LIGHT.txt","NR-LIGHT")</f>
        <v>NR-LIGHT</v>
      </c>
      <c r="R338" s="3">
        <v>1E-51</v>
      </c>
      <c r="S338">
        <v>100</v>
      </c>
      <c r="T338" t="str">
        <f>HYPERLINK(".\links\NR-LIGHT\TI-552-NR-LIGHT.txt","salivary secreted protein")</f>
        <v>salivary secreted protein</v>
      </c>
      <c r="U338" t="str">
        <f>HYPERLINK("http://www.ncbi.nlm.nih.gov/sutils/blink.cgi?pid=149689094","1E-051")</f>
        <v>1E-051</v>
      </c>
      <c r="V338" t="str">
        <f>HYPERLINK("http://www.ncbi.nlm.nih.gov/protein/149689094","gi|149689094")</f>
        <v>gi|149689094</v>
      </c>
      <c r="W338">
        <v>203</v>
      </c>
      <c r="X338">
        <v>128</v>
      </c>
      <c r="Y338">
        <v>129</v>
      </c>
      <c r="Z338">
        <v>79</v>
      </c>
      <c r="AA338">
        <v>100</v>
      </c>
      <c r="AB338">
        <v>27</v>
      </c>
      <c r="AC338">
        <v>0</v>
      </c>
      <c r="AD338">
        <v>1</v>
      </c>
      <c r="AE338">
        <v>1</v>
      </c>
      <c r="AF338">
        <v>1</v>
      </c>
      <c r="AG338"/>
      <c r="AH338" t="s">
        <v>13</v>
      </c>
      <c r="AI338" t="s">
        <v>51</v>
      </c>
      <c r="AJ338" t="s">
        <v>273</v>
      </c>
      <c r="AK338" t="s">
        <v>8</v>
      </c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 t="str">
        <f>HYPERLINK(".\links\PREV-RHOD-PEP\TI-552-PREV-RHOD-PEP.txt","Contig17819_86")</f>
        <v>Contig17819_86</v>
      </c>
      <c r="AZ338" s="3">
        <v>2.9999999999999999E-30</v>
      </c>
      <c r="BA338" t="s">
        <v>998</v>
      </c>
      <c r="BB338">
        <v>126</v>
      </c>
      <c r="BC338">
        <v>102</v>
      </c>
      <c r="BD338">
        <v>126</v>
      </c>
      <c r="BE338">
        <v>58</v>
      </c>
      <c r="BF338">
        <v>82</v>
      </c>
      <c r="BG338">
        <v>43</v>
      </c>
      <c r="BH338">
        <v>0</v>
      </c>
      <c r="BI338">
        <v>24</v>
      </c>
      <c r="BJ338">
        <v>27</v>
      </c>
      <c r="BK338">
        <v>1</v>
      </c>
      <c r="BL338" t="s">
        <v>8</v>
      </c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 t="s">
        <v>8</v>
      </c>
      <c r="CD338"/>
      <c r="CE338"/>
      <c r="CF338" t="s">
        <v>8</v>
      </c>
      <c r="CG338"/>
      <c r="CH338"/>
      <c r="CI338" t="s">
        <v>8</v>
      </c>
      <c r="CJ338"/>
      <c r="CK338" t="s">
        <v>8</v>
      </c>
      <c r="CL338"/>
      <c r="CM338" t="s">
        <v>8</v>
      </c>
      <c r="CN338"/>
      <c r="CO338" t="s">
        <v>8</v>
      </c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 t="s">
        <v>8</v>
      </c>
      <c r="DD338"/>
      <c r="DE338"/>
      <c r="DF338"/>
      <c r="DG338"/>
      <c r="DH338"/>
      <c r="DI338"/>
      <c r="DJ338"/>
      <c r="DK338"/>
      <c r="DL338"/>
      <c r="DM338"/>
      <c r="DN338"/>
      <c r="DO338"/>
      <c r="DP338"/>
    </row>
    <row r="339" spans="1:120" s="5" customFormat="1">
      <c r="A339" s="6" t="str">
        <f>HYPERLINK(".\links\pep\TI-553-pep.txt","TI-553")</f>
        <v>TI-553</v>
      </c>
      <c r="B339" s="6">
        <v>553</v>
      </c>
      <c r="C339" s="6" t="s">
        <v>10</v>
      </c>
      <c r="D339" s="6">
        <v>17</v>
      </c>
      <c r="E339" s="6">
        <v>0</v>
      </c>
      <c r="F339" s="6" t="str">
        <f>HYPERLINK(".\links\cds\TI-553-cds.txt","TI-553")</f>
        <v>TI-553</v>
      </c>
      <c r="G339" s="6">
        <v>54</v>
      </c>
      <c r="H339" s="6"/>
      <c r="I339" s="6" t="s">
        <v>8</v>
      </c>
      <c r="J339" s="6" t="s">
        <v>6</v>
      </c>
      <c r="K339" s="6">
        <v>0</v>
      </c>
      <c r="L339" s="6">
        <v>1</v>
      </c>
      <c r="M339" s="6">
        <f t="shared" si="18"/>
        <v>-1</v>
      </c>
      <c r="N339" s="6">
        <f t="shared" si="19"/>
        <v>1</v>
      </c>
      <c r="O339" s="6" t="s">
        <v>1170</v>
      </c>
      <c r="P339" s="6" t="s">
        <v>1171</v>
      </c>
      <c r="Q339" s="6"/>
      <c r="R339" s="6"/>
      <c r="S339" s="6"/>
      <c r="T339" s="6" t="s">
        <v>8</v>
      </c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 t="s">
        <v>8</v>
      </c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 t="s">
        <v>8</v>
      </c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 t="s">
        <v>8</v>
      </c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 t="s">
        <v>8</v>
      </c>
      <c r="CD339" s="6"/>
      <c r="CE339" s="6"/>
      <c r="CF339" s="6" t="s">
        <v>8</v>
      </c>
      <c r="CG339" s="6"/>
      <c r="CH339" s="6"/>
      <c r="CI339" s="6" t="s">
        <v>8</v>
      </c>
      <c r="CJ339" s="6"/>
      <c r="CK339" s="6" t="s">
        <v>8</v>
      </c>
      <c r="CL339" s="6"/>
      <c r="CM339" s="6" t="s">
        <v>8</v>
      </c>
      <c r="CN339" s="6"/>
      <c r="CO339" s="6" t="s">
        <v>8</v>
      </c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 t="s">
        <v>8</v>
      </c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</row>
    <row r="340" spans="1:120" s="5" customFormat="1">
      <c r="A340" t="str">
        <f>HYPERLINK(".\links\pep\TI-555-pep.txt","TI-555")</f>
        <v>TI-555</v>
      </c>
      <c r="B340">
        <v>555</v>
      </c>
      <c r="C340" t="s">
        <v>27</v>
      </c>
      <c r="D340">
        <v>231</v>
      </c>
      <c r="E340" s="2">
        <v>0.43290040000000002</v>
      </c>
      <c r="F340" t="str">
        <f>HYPERLINK(".\links\cds\TI-555-cds.txt","TI-555")</f>
        <v>TI-555</v>
      </c>
      <c r="G340">
        <v>692</v>
      </c>
      <c r="H340"/>
      <c r="I340" t="s">
        <v>8</v>
      </c>
      <c r="J340" t="s">
        <v>8</v>
      </c>
      <c r="K340">
        <v>0</v>
      </c>
      <c r="L340">
        <v>1</v>
      </c>
      <c r="M340">
        <f t="shared" si="18"/>
        <v>-1</v>
      </c>
      <c r="N340">
        <f t="shared" si="19"/>
        <v>1</v>
      </c>
      <c r="O340" t="s">
        <v>1240</v>
      </c>
      <c r="P340" t="s">
        <v>1173</v>
      </c>
      <c r="Q340" t="str">
        <f>HYPERLINK(".\links\GO\TI-555-GO.txt","GO")</f>
        <v>GO</v>
      </c>
      <c r="R340">
        <v>9.9999999999999998E-13</v>
      </c>
      <c r="S340">
        <v>43.8</v>
      </c>
      <c r="T340" t="str">
        <f>HYPERLINK(".\links\NR-LIGHT\TI-555-NR-LIGHT.txt","hypothetical protein LOC100164577 isoform 2")</f>
        <v>hypothetical protein LOC100164577 isoform 2</v>
      </c>
      <c r="U340" t="str">
        <f>HYPERLINK("http://www.ncbi.nlm.nih.gov/sutils/blink.cgi?pid=328717080","8E-022")</f>
        <v>8E-022</v>
      </c>
      <c r="V340" t="str">
        <f>HYPERLINK("http://www.ncbi.nlm.nih.gov/protein/328717080","gi|328717080")</f>
        <v>gi|328717080</v>
      </c>
      <c r="W340">
        <v>106</v>
      </c>
      <c r="X340">
        <v>158</v>
      </c>
      <c r="Y340">
        <v>167</v>
      </c>
      <c r="Z340">
        <v>38</v>
      </c>
      <c r="AA340">
        <v>95</v>
      </c>
      <c r="AB340">
        <v>100</v>
      </c>
      <c r="AC340">
        <v>6</v>
      </c>
      <c r="AD340">
        <v>9</v>
      </c>
      <c r="AE340">
        <v>61</v>
      </c>
      <c r="AF340">
        <v>1</v>
      </c>
      <c r="AG340"/>
      <c r="AH340" t="s">
        <v>13</v>
      </c>
      <c r="AI340" t="s">
        <v>51</v>
      </c>
      <c r="AJ340" t="s">
        <v>264</v>
      </c>
      <c r="AK340" t="s">
        <v>8</v>
      </c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 t="str">
        <f>HYPERLINK(".\links\PREV-RHOD-PEP\TI-555-PREV-RHOD-PEP.txt","Contig17343_19")</f>
        <v>Contig17343_19</v>
      </c>
      <c r="AZ340" s="3">
        <v>6.0000000000000003E-47</v>
      </c>
      <c r="BA340" t="s">
        <v>995</v>
      </c>
      <c r="BB340">
        <v>183</v>
      </c>
      <c r="BC340">
        <v>143</v>
      </c>
      <c r="BD340">
        <v>144</v>
      </c>
      <c r="BE340">
        <v>66</v>
      </c>
      <c r="BF340">
        <v>100</v>
      </c>
      <c r="BG340">
        <v>46</v>
      </c>
      <c r="BH340">
        <v>4</v>
      </c>
      <c r="BI340">
        <v>1</v>
      </c>
      <c r="BJ340">
        <v>69</v>
      </c>
      <c r="BK340">
        <v>2</v>
      </c>
      <c r="BL340" t="s">
        <v>383</v>
      </c>
      <c r="BM340">
        <f>HYPERLINK(".\links\GO\TI-555-GO.txt",0.000000000001)</f>
        <v>9.9999999999999998E-13</v>
      </c>
      <c r="BN340" t="s">
        <v>384</v>
      </c>
      <c r="BO340" t="s">
        <v>345</v>
      </c>
      <c r="BP340" t="s">
        <v>346</v>
      </c>
      <c r="BQ340" t="s">
        <v>385</v>
      </c>
      <c r="BR340">
        <v>9.9999999999999998E-13</v>
      </c>
      <c r="BS340" t="s">
        <v>8</v>
      </c>
      <c r="BT340" t="s">
        <v>8</v>
      </c>
      <c r="BU340" t="s">
        <v>8</v>
      </c>
      <c r="BV340" t="s">
        <v>8</v>
      </c>
      <c r="BW340" t="s">
        <v>8</v>
      </c>
      <c r="BX340" t="s">
        <v>8</v>
      </c>
      <c r="BY340" t="s">
        <v>8</v>
      </c>
      <c r="BZ340" t="s">
        <v>8</v>
      </c>
      <c r="CA340" t="s">
        <v>8</v>
      </c>
      <c r="CB340" t="s">
        <v>8</v>
      </c>
      <c r="CC340" t="s">
        <v>8</v>
      </c>
      <c r="CD340"/>
      <c r="CE340"/>
      <c r="CF340" t="s">
        <v>8</v>
      </c>
      <c r="CG340"/>
      <c r="CH340"/>
      <c r="CI340" t="s">
        <v>8</v>
      </c>
      <c r="CJ340"/>
      <c r="CK340" t="s">
        <v>8</v>
      </c>
      <c r="CL340"/>
      <c r="CM340" t="s">
        <v>8</v>
      </c>
      <c r="CN340"/>
      <c r="CO340" t="s">
        <v>8</v>
      </c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 t="s">
        <v>8</v>
      </c>
      <c r="DD340"/>
      <c r="DE340"/>
      <c r="DF340"/>
      <c r="DG340"/>
      <c r="DH340"/>
      <c r="DI340"/>
      <c r="DJ340"/>
      <c r="DK340"/>
      <c r="DL340"/>
      <c r="DM340"/>
      <c r="DN340"/>
      <c r="DO340"/>
      <c r="DP340"/>
    </row>
    <row r="341" spans="1:120" s="5" customFormat="1">
      <c r="A341" t="str">
        <f>HYPERLINK(".\links\pep\TI-556-pep.txt","TI-556")</f>
        <v>TI-556</v>
      </c>
      <c r="B341">
        <v>556</v>
      </c>
      <c r="C341" t="s">
        <v>7</v>
      </c>
      <c r="D341">
        <v>242</v>
      </c>
      <c r="E341">
        <v>0</v>
      </c>
      <c r="F341" t="str">
        <f>HYPERLINK(".\links\cds\TI-556-cds.txt","TI-556")</f>
        <v>TI-556</v>
      </c>
      <c r="G341">
        <v>724</v>
      </c>
      <c r="H341"/>
      <c r="I341" t="s">
        <v>29</v>
      </c>
      <c r="J341" t="s">
        <v>8</v>
      </c>
      <c r="K341">
        <v>3</v>
      </c>
      <c r="L341">
        <v>2</v>
      </c>
      <c r="M341">
        <f t="shared" si="18"/>
        <v>1</v>
      </c>
      <c r="N341">
        <f t="shared" si="19"/>
        <v>1</v>
      </c>
      <c r="O341" t="s">
        <v>1351</v>
      </c>
      <c r="P341" t="s">
        <v>1168</v>
      </c>
      <c r="Q341" t="str">
        <f>HYPERLINK(".\links\NR-LIGHT\TI-556-NR-LIGHT.txt","NR-LIGHT")</f>
        <v>NR-LIGHT</v>
      </c>
      <c r="R341">
        <v>2.0000000000000001E-13</v>
      </c>
      <c r="S341">
        <v>88.5</v>
      </c>
      <c r="T341" t="str">
        <f>HYPERLINK(".\links\NR-LIGHT\TI-556-NR-LIGHT.txt","triabin-like lipocalin precursor")</f>
        <v>triabin-like lipocalin precursor</v>
      </c>
      <c r="U341" t="str">
        <f>HYPERLINK("http://www.ncbi.nlm.nih.gov/sutils/blink.cgi?pid=307094892","2E-013")</f>
        <v>2E-013</v>
      </c>
      <c r="V341" t="str">
        <f>HYPERLINK("http://www.ncbi.nlm.nih.gov/protein/307094892","gi|307094892")</f>
        <v>gi|307094892</v>
      </c>
      <c r="W341">
        <v>78.599999999999994</v>
      </c>
      <c r="X341">
        <v>179</v>
      </c>
      <c r="Y341">
        <v>210</v>
      </c>
      <c r="Z341">
        <v>31</v>
      </c>
      <c r="AA341">
        <v>86</v>
      </c>
      <c r="AB341">
        <v>128</v>
      </c>
      <c r="AC341">
        <v>18</v>
      </c>
      <c r="AD341">
        <v>1</v>
      </c>
      <c r="AE341">
        <v>1</v>
      </c>
      <c r="AF341">
        <v>1</v>
      </c>
      <c r="AG341"/>
      <c r="AH341" t="s">
        <v>13</v>
      </c>
      <c r="AI341" t="s">
        <v>51</v>
      </c>
      <c r="AJ341" t="s">
        <v>278</v>
      </c>
      <c r="AK341" t="str">
        <f>HYPERLINK(".\links\SWISSP\TI-556-SWISSP.txt","Triabin OS=Triatoma pallidipennis PE=1 SV=1")</f>
        <v>Triabin OS=Triatoma pallidipennis PE=1 SV=1</v>
      </c>
      <c r="AL341" t="str">
        <f>HYPERLINK("http://www.uniprot.org/uniprot/Q27049","0.003")</f>
        <v>0.003</v>
      </c>
      <c r="AM341" t="s">
        <v>254</v>
      </c>
      <c r="AN341">
        <v>42.4</v>
      </c>
      <c r="AO341">
        <v>148</v>
      </c>
      <c r="AP341">
        <v>160</v>
      </c>
      <c r="AQ341">
        <v>28</v>
      </c>
      <c r="AR341">
        <v>93</v>
      </c>
      <c r="AS341">
        <v>124</v>
      </c>
      <c r="AT341">
        <v>37</v>
      </c>
      <c r="AU341">
        <v>1</v>
      </c>
      <c r="AV341">
        <v>1</v>
      </c>
      <c r="AW341">
        <v>1</v>
      </c>
      <c r="AX341" t="s">
        <v>255</v>
      </c>
      <c r="AY341" t="str">
        <f>HYPERLINK(".\links\PREV-RHOD-PEP\TI-556-PREV-RHOD-PEP.txt","Contig1709_2")</f>
        <v>Contig1709_2</v>
      </c>
      <c r="AZ341" s="3">
        <v>1.0000000000000001E-31</v>
      </c>
      <c r="BA341" t="s">
        <v>1157</v>
      </c>
      <c r="BB341">
        <v>132</v>
      </c>
      <c r="BC341">
        <v>158</v>
      </c>
      <c r="BD341">
        <v>369</v>
      </c>
      <c r="BE341">
        <v>41</v>
      </c>
      <c r="BF341">
        <v>43</v>
      </c>
      <c r="BG341">
        <v>97</v>
      </c>
      <c r="BH341">
        <v>10</v>
      </c>
      <c r="BI341">
        <v>1</v>
      </c>
      <c r="BJ341">
        <v>1</v>
      </c>
      <c r="BK341">
        <v>1</v>
      </c>
      <c r="BL341" t="s">
        <v>8</v>
      </c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 t="s">
        <v>8</v>
      </c>
      <c r="CD341"/>
      <c r="CE341"/>
      <c r="CF341" t="s">
        <v>8</v>
      </c>
      <c r="CG341"/>
      <c r="CH341"/>
      <c r="CI341" t="s">
        <v>8</v>
      </c>
      <c r="CJ341"/>
      <c r="CK341" t="s">
        <v>8</v>
      </c>
      <c r="CL341"/>
      <c r="CM341" t="s">
        <v>8</v>
      </c>
      <c r="CN341"/>
      <c r="CO341" t="s">
        <v>8</v>
      </c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 t="s">
        <v>8</v>
      </c>
      <c r="DD341"/>
      <c r="DE341"/>
      <c r="DF341"/>
      <c r="DG341"/>
      <c r="DH341"/>
      <c r="DI341"/>
      <c r="DJ341"/>
      <c r="DK341"/>
      <c r="DL341"/>
      <c r="DM341"/>
      <c r="DN341"/>
      <c r="DO341"/>
      <c r="DP341"/>
    </row>
    <row r="342" spans="1:120" s="5" customFormat="1">
      <c r="A342" s="6" t="str">
        <f>HYPERLINK(".\links\pep\TI-557-pep.txt","TI-557")</f>
        <v>TI-557</v>
      </c>
      <c r="B342" s="6">
        <v>557</v>
      </c>
      <c r="C342" s="6" t="s">
        <v>28</v>
      </c>
      <c r="D342" s="6">
        <v>35</v>
      </c>
      <c r="E342" s="7">
        <v>77.142859999999999</v>
      </c>
      <c r="F342" s="6" t="str">
        <f>HYPERLINK(".\links\cds\TI-557-cds.txt","TI-557")</f>
        <v>TI-557</v>
      </c>
      <c r="G342" s="6">
        <v>78</v>
      </c>
      <c r="H342" s="6" t="s">
        <v>24</v>
      </c>
      <c r="I342" s="6" t="s">
        <v>8</v>
      </c>
      <c r="J342" s="6" t="s">
        <v>8</v>
      </c>
      <c r="K342" s="6">
        <v>3</v>
      </c>
      <c r="L342" s="6">
        <v>1</v>
      </c>
      <c r="M342" s="6">
        <f t="shared" si="18"/>
        <v>2</v>
      </c>
      <c r="N342" s="6">
        <f t="shared" si="19"/>
        <v>2</v>
      </c>
      <c r="O342" s="6" t="s">
        <v>1170</v>
      </c>
      <c r="P342" s="6" t="s">
        <v>1171</v>
      </c>
      <c r="Q342" s="6"/>
      <c r="R342" s="6"/>
      <c r="S342" s="6"/>
      <c r="T342" s="6" t="s">
        <v>8</v>
      </c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 t="s">
        <v>8</v>
      </c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 t="s">
        <v>8</v>
      </c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 t="s">
        <v>8</v>
      </c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 t="s">
        <v>8</v>
      </c>
      <c r="CD342" s="6"/>
      <c r="CE342" s="6"/>
      <c r="CF342" s="6" t="s">
        <v>8</v>
      </c>
      <c r="CG342" s="6"/>
      <c r="CH342" s="6"/>
      <c r="CI342" s="6" t="s">
        <v>8</v>
      </c>
      <c r="CJ342" s="6"/>
      <c r="CK342" s="6" t="s">
        <v>8</v>
      </c>
      <c r="CL342" s="6"/>
      <c r="CM342" s="6" t="s">
        <v>8</v>
      </c>
      <c r="CN342" s="6"/>
      <c r="CO342" s="6" t="s">
        <v>8</v>
      </c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 t="s">
        <v>8</v>
      </c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</row>
    <row r="343" spans="1:120" s="5" customFormat="1">
      <c r="A343" s="6" t="str">
        <f>HYPERLINK(".\links\pep\TI-558-pep.txt","TI-558")</f>
        <v>TI-558</v>
      </c>
      <c r="B343" s="6">
        <v>558</v>
      </c>
      <c r="C343" s="6" t="s">
        <v>15</v>
      </c>
      <c r="D343" s="6">
        <v>37</v>
      </c>
      <c r="E343" s="6">
        <v>0</v>
      </c>
      <c r="F343" s="6" t="str">
        <f>HYPERLINK(".\links\cds\TI-558-cds.txt","TI-558")</f>
        <v>TI-558</v>
      </c>
      <c r="G343" s="6">
        <v>114</v>
      </c>
      <c r="H343" s="6"/>
      <c r="I343" s="6" t="s">
        <v>8</v>
      </c>
      <c r="J343" s="6" t="s">
        <v>6</v>
      </c>
      <c r="K343" s="6">
        <v>1</v>
      </c>
      <c r="L343" s="6">
        <v>0</v>
      </c>
      <c r="M343" s="6">
        <f t="shared" si="18"/>
        <v>1</v>
      </c>
      <c r="N343" s="6">
        <f t="shared" si="19"/>
        <v>1</v>
      </c>
      <c r="O343" s="6" t="s">
        <v>1170</v>
      </c>
      <c r="P343" s="6" t="s">
        <v>1171</v>
      </c>
      <c r="Q343" s="6"/>
      <c r="R343" s="6"/>
      <c r="S343" s="6"/>
      <c r="T343" s="6" t="s">
        <v>8</v>
      </c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 t="s">
        <v>8</v>
      </c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 t="s">
        <v>8</v>
      </c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 t="s">
        <v>8</v>
      </c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 t="s">
        <v>8</v>
      </c>
      <c r="CD343" s="6"/>
      <c r="CE343" s="6"/>
      <c r="CF343" s="6" t="s">
        <v>8</v>
      </c>
      <c r="CG343" s="6"/>
      <c r="CH343" s="6"/>
      <c r="CI343" s="6" t="s">
        <v>8</v>
      </c>
      <c r="CJ343" s="6"/>
      <c r="CK343" s="6" t="s">
        <v>8</v>
      </c>
      <c r="CL343" s="6"/>
      <c r="CM343" s="6" t="s">
        <v>8</v>
      </c>
      <c r="CN343" s="6"/>
      <c r="CO343" s="6" t="s">
        <v>8</v>
      </c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 t="s">
        <v>8</v>
      </c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</row>
    <row r="344" spans="1:120" s="5" customFormat="1">
      <c r="A344" t="str">
        <f>HYPERLINK(".\links\pep\TI-561-pep.txt","TI-561")</f>
        <v>TI-561</v>
      </c>
      <c r="B344">
        <v>561</v>
      </c>
      <c r="C344" t="s">
        <v>16</v>
      </c>
      <c r="D344">
        <v>206</v>
      </c>
      <c r="E344">
        <v>0</v>
      </c>
      <c r="F344" t="str">
        <f>HYPERLINK(".\links\cds\TI-561-cds.txt","TI-561")</f>
        <v>TI-561</v>
      </c>
      <c r="G344">
        <v>621</v>
      </c>
      <c r="H344"/>
      <c r="I344" t="s">
        <v>8</v>
      </c>
      <c r="J344" t="s">
        <v>6</v>
      </c>
      <c r="K344">
        <v>0</v>
      </c>
      <c r="L344">
        <v>1</v>
      </c>
      <c r="M344">
        <f t="shared" si="18"/>
        <v>-1</v>
      </c>
      <c r="N344">
        <f t="shared" si="19"/>
        <v>1</v>
      </c>
      <c r="O344" t="s">
        <v>1352</v>
      </c>
      <c r="P344" t="s">
        <v>1178</v>
      </c>
      <c r="Q344" t="str">
        <f>HYPERLINK(".\links\GO\TI-561-GO.txt","GO")</f>
        <v>GO</v>
      </c>
      <c r="R344" s="3">
        <v>3.0000000000000002E-40</v>
      </c>
      <c r="S344">
        <v>97.8</v>
      </c>
      <c r="T344" t="str">
        <f>HYPERLINK(".\links\NR-LIGHT\TI-561-NR-LIGHT.txt","hypothetical protein LOC792049")</f>
        <v>hypothetical protein LOC792049</v>
      </c>
      <c r="U344" t="str">
        <f>HYPERLINK("http://www.ncbi.nlm.nih.gov/sutils/blink.cgi?pid=158262065","5E-039")</f>
        <v>5E-039</v>
      </c>
      <c r="V344" t="str">
        <f>HYPERLINK("http://www.ncbi.nlm.nih.gov/protein/158262065","gi|158262065")</f>
        <v>gi|158262065</v>
      </c>
      <c r="W344">
        <v>162</v>
      </c>
      <c r="X344">
        <v>182</v>
      </c>
      <c r="Y344">
        <v>187</v>
      </c>
      <c r="Z344">
        <v>47</v>
      </c>
      <c r="AA344">
        <v>98</v>
      </c>
      <c r="AB344">
        <v>96</v>
      </c>
      <c r="AC344">
        <v>2</v>
      </c>
      <c r="AD344">
        <v>3</v>
      </c>
      <c r="AE344">
        <v>4</v>
      </c>
      <c r="AF344">
        <v>1</v>
      </c>
      <c r="AG344"/>
      <c r="AH344" t="s">
        <v>13</v>
      </c>
      <c r="AI344" t="s">
        <v>51</v>
      </c>
      <c r="AJ344" t="s">
        <v>85</v>
      </c>
      <c r="AK344" t="str">
        <f>HYPERLINK(".\links\SWISSP\TI-561-SWISSP.txt","Tetratricopeptide repeat protein 36 OS=Danio rerio GN=ttc36 PE=2 SV=1")</f>
        <v>Tetratricopeptide repeat protein 36 OS=Danio rerio GN=ttc36 PE=2 SV=1</v>
      </c>
      <c r="AL344" t="str">
        <f>HYPERLINK("http://www.uniprot.org/uniprot/A8E7I5","1E-039")</f>
        <v>1E-039</v>
      </c>
      <c r="AM344" t="s">
        <v>256</v>
      </c>
      <c r="AN344">
        <v>162</v>
      </c>
      <c r="AO344">
        <v>182</v>
      </c>
      <c r="AP344">
        <v>187</v>
      </c>
      <c r="AQ344">
        <v>47</v>
      </c>
      <c r="AR344">
        <v>98</v>
      </c>
      <c r="AS344">
        <v>96</v>
      </c>
      <c r="AT344">
        <v>2</v>
      </c>
      <c r="AU344">
        <v>3</v>
      </c>
      <c r="AV344">
        <v>4</v>
      </c>
      <c r="AW344">
        <v>1</v>
      </c>
      <c r="AX344" t="s">
        <v>85</v>
      </c>
      <c r="AY344" t="str">
        <f>HYPERLINK(".\links\PREV-RHOD-PEP\TI-561-PREV-RHOD-PEP.txt","Contig4177_4")</f>
        <v>Contig4177_4</v>
      </c>
      <c r="AZ344" s="3">
        <v>2E-73</v>
      </c>
      <c r="BA344" t="s">
        <v>1158</v>
      </c>
      <c r="BB344">
        <v>271</v>
      </c>
      <c r="BC344">
        <v>157</v>
      </c>
      <c r="BD344">
        <v>160</v>
      </c>
      <c r="BE344">
        <v>85</v>
      </c>
      <c r="BF344">
        <v>99</v>
      </c>
      <c r="BG344">
        <v>23</v>
      </c>
      <c r="BH344">
        <v>0</v>
      </c>
      <c r="BI344">
        <v>2</v>
      </c>
      <c r="BJ344">
        <v>1</v>
      </c>
      <c r="BK344">
        <v>1</v>
      </c>
      <c r="BL344" t="s">
        <v>953</v>
      </c>
      <c r="BM344">
        <f>HYPERLINK(".\links\GO\TI-561-GO.txt",3E-40)</f>
        <v>3.0000000000000002E-40</v>
      </c>
      <c r="BN344" t="s">
        <v>792</v>
      </c>
      <c r="BO344" t="s">
        <v>340</v>
      </c>
      <c r="BP344" t="s">
        <v>341</v>
      </c>
      <c r="BQ344" t="s">
        <v>793</v>
      </c>
      <c r="BR344">
        <v>2.0000000000000001E-4</v>
      </c>
      <c r="BS344" t="s">
        <v>954</v>
      </c>
      <c r="BT344" t="s">
        <v>955</v>
      </c>
      <c r="BU344" t="s">
        <v>956</v>
      </c>
      <c r="BV344" t="s">
        <v>957</v>
      </c>
      <c r="BW344">
        <v>2.0000000000000001E-4</v>
      </c>
      <c r="BX344" t="s">
        <v>766</v>
      </c>
      <c r="BY344" t="s">
        <v>340</v>
      </c>
      <c r="BZ344" t="s">
        <v>341</v>
      </c>
      <c r="CA344" t="s">
        <v>767</v>
      </c>
      <c r="CB344">
        <v>2.0000000000000001E-4</v>
      </c>
      <c r="CC344" t="s">
        <v>8</v>
      </c>
      <c r="CD344"/>
      <c r="CE344"/>
      <c r="CF344" t="s">
        <v>8</v>
      </c>
      <c r="CG344"/>
      <c r="CH344"/>
      <c r="CI344" t="s">
        <v>8</v>
      </c>
      <c r="CJ344"/>
      <c r="CK344" t="s">
        <v>8</v>
      </c>
      <c r="CL344"/>
      <c r="CM344" t="s">
        <v>8</v>
      </c>
      <c r="CN344"/>
      <c r="CO344" t="s">
        <v>8</v>
      </c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 t="s">
        <v>8</v>
      </c>
      <c r="DD344"/>
      <c r="DE344"/>
      <c r="DF344"/>
      <c r="DG344"/>
      <c r="DH344"/>
      <c r="DI344"/>
      <c r="DJ344"/>
      <c r="DK344"/>
      <c r="DL344"/>
      <c r="DM344"/>
      <c r="DN344"/>
      <c r="DO344"/>
      <c r="DP344"/>
    </row>
    <row r="345" spans="1:120" s="5" customFormat="1">
      <c r="A345" s="6" t="str">
        <f>HYPERLINK(".\links\pep\TI-562-pep.txt","TI-562")</f>
        <v>TI-562</v>
      </c>
      <c r="B345" s="6">
        <v>562</v>
      </c>
      <c r="C345" s="6" t="s">
        <v>14</v>
      </c>
      <c r="D345" s="6">
        <v>223</v>
      </c>
      <c r="E345" s="6">
        <v>0</v>
      </c>
      <c r="F345" s="6" t="str">
        <f>HYPERLINK(".\links\cds\TI-562-cds.txt","TI-562")</f>
        <v>TI-562</v>
      </c>
      <c r="G345" s="6">
        <v>672</v>
      </c>
      <c r="H345" s="6"/>
      <c r="I345" s="6" t="s">
        <v>8</v>
      </c>
      <c r="J345" s="6" t="s">
        <v>6</v>
      </c>
      <c r="K345" s="6">
        <v>1</v>
      </c>
      <c r="L345" s="6">
        <v>0</v>
      </c>
      <c r="M345" s="6">
        <f t="shared" si="18"/>
        <v>1</v>
      </c>
      <c r="N345" s="6">
        <f t="shared" si="19"/>
        <v>1</v>
      </c>
      <c r="O345" s="6" t="s">
        <v>1170</v>
      </c>
      <c r="P345" s="6" t="s">
        <v>1171</v>
      </c>
      <c r="Q345" s="6"/>
      <c r="R345" s="6"/>
      <c r="S345" s="6"/>
      <c r="T345" s="6" t="str">
        <f>HYPERLINK(".\links\NR-LIGHT\TI-562-NR-LIGHT.txt","putative protein")</f>
        <v>putative protein</v>
      </c>
      <c r="U345" s="6" t="str">
        <f>HYPERLINK("http://www.ncbi.nlm.nih.gov/sutils/blink.cgi?pid=10129645","0.60")</f>
        <v>0.60</v>
      </c>
      <c r="V345" s="6" t="str">
        <f>HYPERLINK("http://www.ncbi.nlm.nih.gov/protein/10129645","gi|10129645")</f>
        <v>gi|10129645</v>
      </c>
      <c r="W345" s="6">
        <v>36.6</v>
      </c>
      <c r="X345" s="6">
        <v>90</v>
      </c>
      <c r="Y345" s="6">
        <v>218</v>
      </c>
      <c r="Z345" s="6">
        <v>29</v>
      </c>
      <c r="AA345" s="6">
        <v>42</v>
      </c>
      <c r="AB345" s="6">
        <v>68</v>
      </c>
      <c r="AC345" s="6">
        <v>13</v>
      </c>
      <c r="AD345" s="6">
        <v>53</v>
      </c>
      <c r="AE345" s="6">
        <v>97</v>
      </c>
      <c r="AF345" s="6">
        <v>1</v>
      </c>
      <c r="AG345" s="6"/>
      <c r="AH345" s="6" t="s">
        <v>13</v>
      </c>
      <c r="AI345" s="6" t="s">
        <v>51</v>
      </c>
      <c r="AJ345" s="6" t="s">
        <v>291</v>
      </c>
      <c r="AK345" s="6" t="s">
        <v>8</v>
      </c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 t="str">
        <f>HYPERLINK(".\links\PREV-RHOD-PEP\TI-562-PREV-RHOD-PEP.txt","Contig17710_43")</f>
        <v>Contig17710_43</v>
      </c>
      <c r="AZ345" s="8">
        <v>6.9999999999999999E-76</v>
      </c>
      <c r="BA345" s="6" t="s">
        <v>1159</v>
      </c>
      <c r="BB345" s="6">
        <v>279</v>
      </c>
      <c r="BC345" s="6">
        <v>204</v>
      </c>
      <c r="BD345" s="6">
        <v>223</v>
      </c>
      <c r="BE345" s="6">
        <v>66</v>
      </c>
      <c r="BF345" s="6">
        <v>92</v>
      </c>
      <c r="BG345" s="6">
        <v>69</v>
      </c>
      <c r="BH345" s="6">
        <v>2</v>
      </c>
      <c r="BI345" s="6">
        <v>3</v>
      </c>
      <c r="BJ345" s="6">
        <v>14</v>
      </c>
      <c r="BK345" s="6">
        <v>1</v>
      </c>
      <c r="BL345" s="6" t="s">
        <v>8</v>
      </c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 t="s">
        <v>8</v>
      </c>
      <c r="CD345" s="6"/>
      <c r="CE345" s="6"/>
      <c r="CF345" s="6" t="s">
        <v>8</v>
      </c>
      <c r="CG345" s="6"/>
      <c r="CH345" s="6"/>
      <c r="CI345" s="6" t="s">
        <v>8</v>
      </c>
      <c r="CJ345" s="6"/>
      <c r="CK345" s="6" t="s">
        <v>8</v>
      </c>
      <c r="CL345" s="6"/>
      <c r="CM345" s="6" t="s">
        <v>8</v>
      </c>
      <c r="CN345" s="6"/>
      <c r="CO345" s="6" t="s">
        <v>8</v>
      </c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 t="s">
        <v>8</v>
      </c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</row>
    <row r="346" spans="1:120" s="5" customFormat="1">
      <c r="A346" s="6" t="str">
        <f>HYPERLINK(".\links\pep\TI-563-pep.txt","TI-563")</f>
        <v>TI-563</v>
      </c>
      <c r="B346" s="6">
        <v>563</v>
      </c>
      <c r="C346" s="6" t="s">
        <v>16</v>
      </c>
      <c r="D346" s="6">
        <v>46</v>
      </c>
      <c r="E346" s="6">
        <v>0</v>
      </c>
      <c r="F346" s="6" t="str">
        <f>HYPERLINK(".\links\cds\TI-563-cds.txt","TI-563")</f>
        <v>TI-563</v>
      </c>
      <c r="G346" s="6">
        <v>135</v>
      </c>
      <c r="H346" s="6"/>
      <c r="I346" s="6" t="s">
        <v>8</v>
      </c>
      <c r="J346" s="6" t="s">
        <v>8</v>
      </c>
      <c r="K346" s="6">
        <v>1</v>
      </c>
      <c r="L346" s="6">
        <v>0</v>
      </c>
      <c r="M346" s="6">
        <f t="shared" si="18"/>
        <v>1</v>
      </c>
      <c r="N346" s="6">
        <f t="shared" si="19"/>
        <v>1</v>
      </c>
      <c r="O346" s="6" t="s">
        <v>1170</v>
      </c>
      <c r="P346" s="6" t="s">
        <v>1171</v>
      </c>
      <c r="Q346" s="6"/>
      <c r="R346" s="6"/>
      <c r="S346" s="6"/>
      <c r="T346" s="6" t="str">
        <f>HYPERLINK(".\links\NR-LIGHT\TI-563-NR-LIGHT.txt","zinc finger protein GLI1")</f>
        <v>zinc finger protein GLI1</v>
      </c>
      <c r="U346" s="6" t="str">
        <f>HYPERLINK("http://www.ncbi.nlm.nih.gov/sutils/blink.cgi?pid=170035164","1.1")</f>
        <v>1.1</v>
      </c>
      <c r="V346" s="6" t="str">
        <f>HYPERLINK("http://www.ncbi.nlm.nih.gov/protein/170035164","gi|170035164")</f>
        <v>gi|170035164</v>
      </c>
      <c r="W346" s="6">
        <v>34.299999999999997</v>
      </c>
      <c r="X346" s="6">
        <v>39</v>
      </c>
      <c r="Y346" s="6">
        <v>670</v>
      </c>
      <c r="Z346" s="6">
        <v>37</v>
      </c>
      <c r="AA346" s="6">
        <v>6</v>
      </c>
      <c r="AB346" s="6">
        <v>25</v>
      </c>
      <c r="AC346" s="6">
        <v>0</v>
      </c>
      <c r="AD346" s="6">
        <v>176</v>
      </c>
      <c r="AE346" s="6">
        <v>1</v>
      </c>
      <c r="AF346" s="6">
        <v>1</v>
      </c>
      <c r="AG346" s="6"/>
      <c r="AH346" s="6" t="s">
        <v>13</v>
      </c>
      <c r="AI346" s="6" t="s">
        <v>51</v>
      </c>
      <c r="AJ346" s="6" t="s">
        <v>263</v>
      </c>
      <c r="AK346" s="6" t="s">
        <v>8</v>
      </c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 t="s">
        <v>8</v>
      </c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 t="s">
        <v>8</v>
      </c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 t="s">
        <v>8</v>
      </c>
      <c r="CD346" s="6"/>
      <c r="CE346" s="6"/>
      <c r="CF346" s="6" t="s">
        <v>8</v>
      </c>
      <c r="CG346" s="6"/>
      <c r="CH346" s="6"/>
      <c r="CI346" s="6" t="s">
        <v>8</v>
      </c>
      <c r="CJ346" s="6"/>
      <c r="CK346" s="6" t="s">
        <v>8</v>
      </c>
      <c r="CL346" s="6"/>
      <c r="CM346" s="6" t="s">
        <v>8</v>
      </c>
      <c r="CN346" s="6"/>
      <c r="CO346" s="6" t="s">
        <v>8</v>
      </c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 t="s">
        <v>8</v>
      </c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</row>
    <row r="347" spans="1:120" s="5" customFormat="1">
      <c r="A347" t="str">
        <f>HYPERLINK(".\links\pep\TI-564-pep.txt","TI-564")</f>
        <v>TI-564</v>
      </c>
      <c r="B347">
        <v>564</v>
      </c>
      <c r="C347" t="s">
        <v>12</v>
      </c>
      <c r="D347">
        <v>210</v>
      </c>
      <c r="E347">
        <v>0</v>
      </c>
      <c r="F347" t="str">
        <f>HYPERLINK(".\links\cds\TI-564-cds.txt","TI-564")</f>
        <v>TI-564</v>
      </c>
      <c r="G347">
        <v>633</v>
      </c>
      <c r="H347"/>
      <c r="I347" t="s">
        <v>8</v>
      </c>
      <c r="J347" t="s">
        <v>6</v>
      </c>
      <c r="K347">
        <v>4</v>
      </c>
      <c r="L347">
        <v>0</v>
      </c>
      <c r="M347">
        <f t="shared" si="18"/>
        <v>4</v>
      </c>
      <c r="N347">
        <f t="shared" si="19"/>
        <v>4</v>
      </c>
      <c r="O347" t="s">
        <v>1241</v>
      </c>
      <c r="P347" t="s">
        <v>1168</v>
      </c>
      <c r="Q347" t="str">
        <f>HYPERLINK(".\links\NR-LIGHT\TI-564-NR-LIGHT.txt","NR-LIGHT")</f>
        <v>NR-LIGHT</v>
      </c>
      <c r="R347">
        <v>6E-9</v>
      </c>
      <c r="S347">
        <v>82.8</v>
      </c>
      <c r="T347" t="str">
        <f>HYPERLINK(".\links\NR-LIGHT\TI-564-NR-LIGHT.txt","rhodnius biogenic aminebinding-like protein")</f>
        <v>rhodnius biogenic aminebinding-like protein</v>
      </c>
      <c r="U347" t="str">
        <f>HYPERLINK("http://www.ncbi.nlm.nih.gov/sutils/blink.cgi?pid=307094890","4E-061")</f>
        <v>4E-061</v>
      </c>
      <c r="V347" t="str">
        <f>HYPERLINK("http://www.ncbi.nlm.nih.gov/protein/307094890","gi|307094890")</f>
        <v>gi|307094890</v>
      </c>
      <c r="W347">
        <v>236</v>
      </c>
      <c r="X347">
        <v>197</v>
      </c>
      <c r="Y347">
        <v>211</v>
      </c>
      <c r="Z347">
        <v>55</v>
      </c>
      <c r="AA347">
        <v>94</v>
      </c>
      <c r="AB347">
        <v>89</v>
      </c>
      <c r="AC347">
        <v>1</v>
      </c>
      <c r="AD347">
        <v>9</v>
      </c>
      <c r="AE347">
        <v>14</v>
      </c>
      <c r="AF347">
        <v>1</v>
      </c>
      <c r="AG347"/>
      <c r="AH347" t="s">
        <v>13</v>
      </c>
      <c r="AI347" t="s">
        <v>51</v>
      </c>
      <c r="AJ347" t="s">
        <v>278</v>
      </c>
      <c r="AK347" t="str">
        <f>HYPERLINK(".\links\SWISSP\TI-564-SWISSP.txt","Apolipoprotein D OS=Macaca fascicularis GN=APOD PE=2 SV=1")</f>
        <v>Apolipoprotein D OS=Macaca fascicularis GN=APOD PE=2 SV=1</v>
      </c>
      <c r="AL347" t="str">
        <f>HYPERLINK("http://www.uniprot.org/uniprot/Q8SPI0","2E-004")</f>
        <v>2E-004</v>
      </c>
      <c r="AM347" t="s">
        <v>219</v>
      </c>
      <c r="AN347">
        <v>46.2</v>
      </c>
      <c r="AO347">
        <v>160</v>
      </c>
      <c r="AP347">
        <v>189</v>
      </c>
      <c r="AQ347">
        <v>24</v>
      </c>
      <c r="AR347">
        <v>85</v>
      </c>
      <c r="AS347">
        <v>137</v>
      </c>
      <c r="AT347">
        <v>25</v>
      </c>
      <c r="AU347">
        <v>27</v>
      </c>
      <c r="AV347">
        <v>30</v>
      </c>
      <c r="AW347">
        <v>1</v>
      </c>
      <c r="AX347" t="s">
        <v>220</v>
      </c>
      <c r="AY347" t="str">
        <f>HYPERLINK(".\links\PREV-RHOD-PEP\TI-564-PREV-RHOD-PEP.txt","Contig1709_3")</f>
        <v>Contig1709_3</v>
      </c>
      <c r="AZ347" s="3">
        <v>3.0000000000000002E-55</v>
      </c>
      <c r="BA347" t="s">
        <v>1160</v>
      </c>
      <c r="BB347">
        <v>210</v>
      </c>
      <c r="BC347">
        <v>200</v>
      </c>
      <c r="BD347">
        <v>206</v>
      </c>
      <c r="BE347">
        <v>47</v>
      </c>
      <c r="BF347">
        <v>98</v>
      </c>
      <c r="BG347">
        <v>106</v>
      </c>
      <c r="BH347">
        <v>2</v>
      </c>
      <c r="BI347">
        <v>6</v>
      </c>
      <c r="BJ347">
        <v>11</v>
      </c>
      <c r="BK347">
        <v>1</v>
      </c>
      <c r="BL347" t="s">
        <v>8</v>
      </c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 t="s">
        <v>8</v>
      </c>
      <c r="CD347"/>
      <c r="CE347"/>
      <c r="CF347" t="s">
        <v>8</v>
      </c>
      <c r="CG347"/>
      <c r="CH347"/>
      <c r="CI347" t="s">
        <v>8</v>
      </c>
      <c r="CJ347"/>
      <c r="CK347" t="s">
        <v>8</v>
      </c>
      <c r="CL347"/>
      <c r="CM347" t="s">
        <v>8</v>
      </c>
      <c r="CN347"/>
      <c r="CO347" t="s">
        <v>8</v>
      </c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 t="s">
        <v>8</v>
      </c>
      <c r="DD347"/>
      <c r="DE347"/>
      <c r="DF347"/>
      <c r="DG347"/>
      <c r="DH347"/>
      <c r="DI347"/>
      <c r="DJ347"/>
      <c r="DK347"/>
      <c r="DL347"/>
      <c r="DM347"/>
      <c r="DN347"/>
      <c r="DO347"/>
      <c r="DP347"/>
    </row>
    <row r="348" spans="1:120" s="5" customFormat="1">
      <c r="A348" t="str">
        <f>HYPERLINK(".\links\pep\TI-565-pep.txt","TI-565")</f>
        <v>TI-565</v>
      </c>
      <c r="B348">
        <v>565</v>
      </c>
      <c r="C348" t="s">
        <v>7</v>
      </c>
      <c r="D348">
        <v>177</v>
      </c>
      <c r="E348">
        <v>0</v>
      </c>
      <c r="F348" t="str">
        <f>HYPERLINK(".\links\cds\TI-565-cds.txt","TI-565")</f>
        <v>TI-565</v>
      </c>
      <c r="G348">
        <v>530</v>
      </c>
      <c r="H348"/>
      <c r="I348" t="s">
        <v>29</v>
      </c>
      <c r="J348" t="s">
        <v>8</v>
      </c>
      <c r="K348">
        <v>4</v>
      </c>
      <c r="L348">
        <v>0</v>
      </c>
      <c r="M348">
        <f t="shared" si="18"/>
        <v>4</v>
      </c>
      <c r="N348">
        <f t="shared" si="19"/>
        <v>4</v>
      </c>
      <c r="O348" t="s">
        <v>1242</v>
      </c>
      <c r="P348" t="s">
        <v>1178</v>
      </c>
      <c r="Q348" t="str">
        <f>HYPERLINK(".\links\NR-LIGHT\TI-565-NR-LIGHT.txt","NR-LIGHT")</f>
        <v>NR-LIGHT</v>
      </c>
      <c r="R348" s="3">
        <v>7.9999999999999998E-48</v>
      </c>
      <c r="S348">
        <v>84.8</v>
      </c>
      <c r="T348" t="str">
        <f>HYPERLINK(".\links\NR-LIGHT\TI-565-NR-LIGHT.txt","rhodnius biogenic aminebinding-like protein")</f>
        <v>rhodnius biogenic aminebinding-like protein</v>
      </c>
      <c r="U348" t="str">
        <f>HYPERLINK("http://www.ncbi.nlm.nih.gov/sutils/blink.cgi?pid=307094890","8E-048")</f>
        <v>8E-048</v>
      </c>
      <c r="V348" t="str">
        <f>HYPERLINK("http://www.ncbi.nlm.nih.gov/protein/307094890","gi|307094890")</f>
        <v>gi|307094890</v>
      </c>
      <c r="W348">
        <v>191</v>
      </c>
      <c r="X348">
        <v>177</v>
      </c>
      <c r="Y348">
        <v>211</v>
      </c>
      <c r="Z348">
        <v>53</v>
      </c>
      <c r="AA348">
        <v>84</v>
      </c>
      <c r="AB348">
        <v>84</v>
      </c>
      <c r="AC348">
        <v>3</v>
      </c>
      <c r="AD348">
        <v>1</v>
      </c>
      <c r="AE348">
        <v>1</v>
      </c>
      <c r="AF348">
        <v>1</v>
      </c>
      <c r="AG348"/>
      <c r="AH348" t="s">
        <v>13</v>
      </c>
      <c r="AI348" t="s">
        <v>51</v>
      </c>
      <c r="AJ348" t="s">
        <v>278</v>
      </c>
      <c r="AK348" t="str">
        <f>HYPERLINK(".\links\SWISSP\TI-565-SWISSP.txt","Apolipoprotein D OS=Macaca fascicularis GN=APOD PE=2 SV=1")</f>
        <v>Apolipoprotein D OS=Macaca fascicularis GN=APOD PE=2 SV=1</v>
      </c>
      <c r="AL348" t="str">
        <f>HYPERLINK("http://www.uniprot.org/uniprot/Q8SPI0","0.002")</f>
        <v>0.002</v>
      </c>
      <c r="AM348" t="s">
        <v>219</v>
      </c>
      <c r="AN348">
        <v>42</v>
      </c>
      <c r="AO348">
        <v>112</v>
      </c>
      <c r="AP348">
        <v>189</v>
      </c>
      <c r="AQ348">
        <v>26</v>
      </c>
      <c r="AR348">
        <v>60</v>
      </c>
      <c r="AS348">
        <v>99</v>
      </c>
      <c r="AT348">
        <v>24</v>
      </c>
      <c r="AU348">
        <v>27</v>
      </c>
      <c r="AV348">
        <v>24</v>
      </c>
      <c r="AW348">
        <v>1</v>
      </c>
      <c r="AX348" t="s">
        <v>220</v>
      </c>
      <c r="AY348" t="str">
        <f>HYPERLINK(".\links\PREV-RHOD-PEP\TI-565-PREV-RHOD-PEP.txt","Contig1709_3")</f>
        <v>Contig1709_3</v>
      </c>
      <c r="AZ348" s="3">
        <v>6.0000000000000002E-45</v>
      </c>
      <c r="BA348" t="s">
        <v>1160</v>
      </c>
      <c r="BB348">
        <v>176</v>
      </c>
      <c r="BC348">
        <v>166</v>
      </c>
      <c r="BD348">
        <v>206</v>
      </c>
      <c r="BE348">
        <v>50</v>
      </c>
      <c r="BF348">
        <v>81</v>
      </c>
      <c r="BG348">
        <v>84</v>
      </c>
      <c r="BH348">
        <v>2</v>
      </c>
      <c r="BI348">
        <v>2</v>
      </c>
      <c r="BJ348">
        <v>1</v>
      </c>
      <c r="BK348">
        <v>1</v>
      </c>
      <c r="BL348" t="s">
        <v>8</v>
      </c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 t="s">
        <v>8</v>
      </c>
      <c r="CD348"/>
      <c r="CE348"/>
      <c r="CF348" t="s">
        <v>8</v>
      </c>
      <c r="CG348"/>
      <c r="CH348"/>
      <c r="CI348" t="s">
        <v>8</v>
      </c>
      <c r="CJ348"/>
      <c r="CK348" t="s">
        <v>8</v>
      </c>
      <c r="CL348"/>
      <c r="CM348" t="s">
        <v>8</v>
      </c>
      <c r="CN348"/>
      <c r="CO348" t="s">
        <v>8</v>
      </c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 t="s">
        <v>8</v>
      </c>
      <c r="DD348"/>
      <c r="DE348"/>
      <c r="DF348"/>
      <c r="DG348"/>
      <c r="DH348"/>
      <c r="DI348"/>
      <c r="DJ348"/>
      <c r="DK348"/>
      <c r="DL348"/>
      <c r="DM348"/>
      <c r="DN348"/>
      <c r="DO348"/>
      <c r="DP348"/>
    </row>
    <row r="349" spans="1:120" s="5" customFormat="1">
      <c r="A349" t="str">
        <f>HYPERLINK(".\links\pep\TI-566-pep.txt","TI-566")</f>
        <v>TI-566</v>
      </c>
      <c r="B349">
        <v>566</v>
      </c>
      <c r="C349" t="s">
        <v>10</v>
      </c>
      <c r="D349">
        <v>210</v>
      </c>
      <c r="E349">
        <v>0</v>
      </c>
      <c r="F349" t="str">
        <f>HYPERLINK(".\links\cds\TI-566-cds.txt","TI-566")</f>
        <v>TI-566</v>
      </c>
      <c r="G349">
        <v>629</v>
      </c>
      <c r="H349"/>
      <c r="I349" t="s">
        <v>8</v>
      </c>
      <c r="J349" t="s">
        <v>8</v>
      </c>
      <c r="K349">
        <v>0</v>
      </c>
      <c r="L349">
        <v>2</v>
      </c>
      <c r="M349">
        <f t="shared" si="18"/>
        <v>-2</v>
      </c>
      <c r="N349">
        <f t="shared" si="19"/>
        <v>2</v>
      </c>
      <c r="O349" t="s">
        <v>1174</v>
      </c>
      <c r="P349" t="s">
        <v>1175</v>
      </c>
      <c r="Q349" t="str">
        <f>HYPERLINK(".\links\NR-LIGHT\TI-566-NR-LIGHT.txt","NR-LIGHT")</f>
        <v>NR-LIGHT</v>
      </c>
      <c r="R349" s="3">
        <v>1E-51</v>
      </c>
      <c r="S349">
        <v>49.7</v>
      </c>
      <c r="T349" t="str">
        <f>HYPERLINK(".\links\NR-LIGHT\TI-566-NR-LIGHT.txt","cathepsin D")</f>
        <v>cathepsin D</v>
      </c>
      <c r="U349" t="str">
        <f>HYPERLINK("http://www.ncbi.nlm.nih.gov/sutils/blink.cgi?pid=301030231","1E-051")</f>
        <v>1E-051</v>
      </c>
      <c r="V349" t="str">
        <f>HYPERLINK("http://www.ncbi.nlm.nih.gov/protein/301030231","gi|301030231")</f>
        <v>gi|301030231</v>
      </c>
      <c r="W349">
        <v>204</v>
      </c>
      <c r="X349">
        <v>191</v>
      </c>
      <c r="Y349">
        <v>390</v>
      </c>
      <c r="Z349">
        <v>52</v>
      </c>
      <c r="AA349">
        <v>49</v>
      </c>
      <c r="AB349">
        <v>92</v>
      </c>
      <c r="AC349">
        <v>2</v>
      </c>
      <c r="AD349">
        <v>23</v>
      </c>
      <c r="AE349">
        <v>17</v>
      </c>
      <c r="AF349">
        <v>1</v>
      </c>
      <c r="AG349"/>
      <c r="AH349" t="s">
        <v>13</v>
      </c>
      <c r="AI349" t="s">
        <v>51</v>
      </c>
      <c r="AJ349" t="s">
        <v>273</v>
      </c>
      <c r="AK349" t="str">
        <f>HYPERLINK(".\links\SWISSP\TI-566-SWISSP.txt","Cathepsin D OS=Gallus gallus GN=CTSD PE=1 SV=1")</f>
        <v>Cathepsin D OS=Gallus gallus GN=CTSD PE=1 SV=1</v>
      </c>
      <c r="AL349" t="str">
        <f>HYPERLINK("http://www.uniprot.org/uniprot/Q05744","2E-042")</f>
        <v>2E-042</v>
      </c>
      <c r="AM349" t="s">
        <v>125</v>
      </c>
      <c r="AN349">
        <v>171</v>
      </c>
      <c r="AO349">
        <v>155</v>
      </c>
      <c r="AP349">
        <v>398</v>
      </c>
      <c r="AQ349">
        <v>51</v>
      </c>
      <c r="AR349">
        <v>39</v>
      </c>
      <c r="AS349">
        <v>76</v>
      </c>
      <c r="AT349">
        <v>1</v>
      </c>
      <c r="AU349">
        <v>68</v>
      </c>
      <c r="AV349">
        <v>56</v>
      </c>
      <c r="AW349">
        <v>1</v>
      </c>
      <c r="AX349" t="s">
        <v>126</v>
      </c>
      <c r="AY349" t="str">
        <f>HYPERLINK(".\links\PREV-RHOD-PEP\TI-566-PREV-RHOD-PEP.txt","Contig808_2")</f>
        <v>Contig808_2</v>
      </c>
      <c r="AZ349" s="3">
        <v>9.9999999999999996E-83</v>
      </c>
      <c r="BA349" t="s">
        <v>1136</v>
      </c>
      <c r="BB349">
        <v>301</v>
      </c>
      <c r="BC349">
        <v>468</v>
      </c>
      <c r="BD349">
        <v>628</v>
      </c>
      <c r="BE349">
        <v>71</v>
      </c>
      <c r="BF349">
        <v>75</v>
      </c>
      <c r="BG349">
        <v>58</v>
      </c>
      <c r="BH349">
        <v>0</v>
      </c>
      <c r="BI349">
        <v>15</v>
      </c>
      <c r="BJ349">
        <v>10</v>
      </c>
      <c r="BK349">
        <v>2</v>
      </c>
      <c r="BL349" t="s">
        <v>492</v>
      </c>
      <c r="BM349">
        <f>HYPERLINK(".\links\GO\TI-566-GO.txt",3E-44)</f>
        <v>3.0000000000000002E-44</v>
      </c>
      <c r="BN349" t="s">
        <v>455</v>
      </c>
      <c r="BO349" t="s">
        <v>345</v>
      </c>
      <c r="BP349" t="s">
        <v>349</v>
      </c>
      <c r="BQ349" t="s">
        <v>456</v>
      </c>
      <c r="BR349" s="3">
        <v>1.9999999999999999E-40</v>
      </c>
      <c r="BS349" t="s">
        <v>493</v>
      </c>
      <c r="BT349" t="s">
        <v>323</v>
      </c>
      <c r="BU349" t="s">
        <v>334</v>
      </c>
      <c r="BV349" t="s">
        <v>494</v>
      </c>
      <c r="BW349" s="3">
        <v>1.9999999999999999E-40</v>
      </c>
      <c r="BX349" t="s">
        <v>495</v>
      </c>
      <c r="BY349" t="s">
        <v>345</v>
      </c>
      <c r="BZ349" t="s">
        <v>349</v>
      </c>
      <c r="CA349" t="s">
        <v>496</v>
      </c>
      <c r="CB349" s="3">
        <v>1.9999999999999999E-40</v>
      </c>
      <c r="CC349" t="s">
        <v>8</v>
      </c>
      <c r="CD349"/>
      <c r="CE349"/>
      <c r="CF349" t="s">
        <v>8</v>
      </c>
      <c r="CG349"/>
      <c r="CH349"/>
      <c r="CI349" t="s">
        <v>8</v>
      </c>
      <c r="CJ349"/>
      <c r="CK349" t="s">
        <v>8</v>
      </c>
      <c r="CL349"/>
      <c r="CM349" t="s">
        <v>8</v>
      </c>
      <c r="CN349"/>
      <c r="CO349" t="s">
        <v>8</v>
      </c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 t="s">
        <v>8</v>
      </c>
      <c r="DD349"/>
      <c r="DE349"/>
      <c r="DF349"/>
      <c r="DG349"/>
      <c r="DH349"/>
      <c r="DI349"/>
      <c r="DJ349"/>
      <c r="DK349"/>
      <c r="DL349"/>
      <c r="DM349"/>
      <c r="DN349"/>
      <c r="DO349"/>
      <c r="DP349"/>
    </row>
    <row r="350" spans="1:120" s="5" customFormat="1">
      <c r="A350" t="str">
        <f>HYPERLINK(".\links\pep\TI-567-pep.txt","TI-567")</f>
        <v>TI-567</v>
      </c>
      <c r="B350">
        <v>567</v>
      </c>
      <c r="C350" t="s">
        <v>12</v>
      </c>
      <c r="D350">
        <v>126</v>
      </c>
      <c r="E350" s="2">
        <v>7.9365079999999999</v>
      </c>
      <c r="F350" t="str">
        <f>HYPERLINK(".\links\cds\TI-567-cds.txt","TI-567")</f>
        <v>TI-567</v>
      </c>
      <c r="G350">
        <v>381</v>
      </c>
      <c r="H350" t="s">
        <v>24</v>
      </c>
      <c r="I350" t="s">
        <v>8</v>
      </c>
      <c r="J350" t="s">
        <v>6</v>
      </c>
      <c r="K350">
        <v>1</v>
      </c>
      <c r="L350">
        <v>0</v>
      </c>
      <c r="M350">
        <f t="shared" si="18"/>
        <v>1</v>
      </c>
      <c r="N350">
        <f t="shared" si="19"/>
        <v>1</v>
      </c>
      <c r="O350" t="s">
        <v>1174</v>
      </c>
      <c r="P350" t="s">
        <v>1175</v>
      </c>
      <c r="Q350" t="str">
        <f>HYPERLINK(".\links\NR-LIGHT\TI-567-NR-LIGHT.txt","NR-LIGHT")</f>
        <v>NR-LIGHT</v>
      </c>
      <c r="R350">
        <v>3E-10</v>
      </c>
      <c r="S350">
        <v>20.7</v>
      </c>
      <c r="T350" t="str">
        <f>HYPERLINK(".\links\NR-LIGHT\TI-567-NR-LIGHT.txt","cathepsin D")</f>
        <v>cathepsin D</v>
      </c>
      <c r="U350" t="str">
        <f>HYPERLINK("http://www.ncbi.nlm.nih.gov/sutils/blink.cgi?pid=301030231","3E-010")</f>
        <v>3E-010</v>
      </c>
      <c r="V350" t="str">
        <f>HYPERLINK("http://www.ncbi.nlm.nih.gov/protein/301030231","gi|301030231")</f>
        <v>gi|301030231</v>
      </c>
      <c r="W350">
        <v>65.900000000000006</v>
      </c>
      <c r="X350">
        <v>78</v>
      </c>
      <c r="Y350">
        <v>390</v>
      </c>
      <c r="Z350">
        <v>43</v>
      </c>
      <c r="AA350">
        <v>20</v>
      </c>
      <c r="AB350">
        <v>46</v>
      </c>
      <c r="AC350">
        <v>2</v>
      </c>
      <c r="AD350">
        <v>3</v>
      </c>
      <c r="AE350">
        <v>1</v>
      </c>
      <c r="AF350">
        <v>1</v>
      </c>
      <c r="AG350"/>
      <c r="AH350" t="s">
        <v>13</v>
      </c>
      <c r="AI350" t="s">
        <v>51</v>
      </c>
      <c r="AJ350" t="s">
        <v>273</v>
      </c>
      <c r="AK350" t="str">
        <f>HYPERLINK(".\links\SWISSP\TI-567-SWISSP.txt","Cathepsin D OS=Chionodraco hamatus GN=ctsd PE=1 SV=2")</f>
        <v>Cathepsin D OS=Chionodraco hamatus GN=ctsd PE=1 SV=2</v>
      </c>
      <c r="AL350" t="str">
        <f>HYPERLINK("http://www.uniprot.org/uniprot/O93428","4E-005")</f>
        <v>4E-005</v>
      </c>
      <c r="AM350" t="s">
        <v>69</v>
      </c>
      <c r="AN350">
        <v>46.6</v>
      </c>
      <c r="AO350">
        <v>82</v>
      </c>
      <c r="AP350">
        <v>396</v>
      </c>
      <c r="AQ350">
        <v>36</v>
      </c>
      <c r="AR350">
        <v>21</v>
      </c>
      <c r="AS350">
        <v>53</v>
      </c>
      <c r="AT350">
        <v>5</v>
      </c>
      <c r="AU350">
        <v>4</v>
      </c>
      <c r="AV350">
        <v>4</v>
      </c>
      <c r="AW350">
        <v>1</v>
      </c>
      <c r="AX350" t="s">
        <v>70</v>
      </c>
      <c r="AY350" t="str">
        <f>HYPERLINK(".\links\PREV-RHOD-PEP\TI-567-PREV-RHOD-PEP.txt","Contig5279_3")</f>
        <v>Contig5279_3</v>
      </c>
      <c r="AZ350" s="3">
        <v>8.9999999999999993E-30</v>
      </c>
      <c r="BA350" t="s">
        <v>997</v>
      </c>
      <c r="BB350">
        <v>124</v>
      </c>
      <c r="BC350">
        <v>107</v>
      </c>
      <c r="BD350">
        <v>151</v>
      </c>
      <c r="BE350">
        <v>55</v>
      </c>
      <c r="BF350">
        <v>72</v>
      </c>
      <c r="BG350">
        <v>48</v>
      </c>
      <c r="BH350">
        <v>0</v>
      </c>
      <c r="BI350">
        <v>2</v>
      </c>
      <c r="BJ350">
        <v>1</v>
      </c>
      <c r="BK350">
        <v>1</v>
      </c>
      <c r="BL350" t="s">
        <v>386</v>
      </c>
      <c r="BM350">
        <f>HYPERLINK(".\links\GO\TI-567-GO.txt",0.001)</f>
        <v>1E-3</v>
      </c>
      <c r="BN350" t="s">
        <v>387</v>
      </c>
      <c r="BO350" t="s">
        <v>345</v>
      </c>
      <c r="BP350" t="s">
        <v>349</v>
      </c>
      <c r="BQ350" t="s">
        <v>388</v>
      </c>
      <c r="BR350">
        <v>1E-3</v>
      </c>
      <c r="BS350" t="s">
        <v>389</v>
      </c>
      <c r="BT350" t="s">
        <v>323</v>
      </c>
      <c r="BU350" t="s">
        <v>390</v>
      </c>
      <c r="BV350" t="s">
        <v>391</v>
      </c>
      <c r="BW350">
        <v>1E-3</v>
      </c>
      <c r="BX350" t="s">
        <v>392</v>
      </c>
      <c r="BY350" t="s">
        <v>345</v>
      </c>
      <c r="BZ350" t="s">
        <v>349</v>
      </c>
      <c r="CA350" t="s">
        <v>393</v>
      </c>
      <c r="CB350">
        <v>1E-3</v>
      </c>
      <c r="CC350" t="s">
        <v>8</v>
      </c>
      <c r="CD350"/>
      <c r="CE350"/>
      <c r="CF350" t="s">
        <v>8</v>
      </c>
      <c r="CG350"/>
      <c r="CH350"/>
      <c r="CI350" t="s">
        <v>8</v>
      </c>
      <c r="CJ350"/>
      <c r="CK350" t="s">
        <v>8</v>
      </c>
      <c r="CL350"/>
      <c r="CM350" t="s">
        <v>8</v>
      </c>
      <c r="CN350"/>
      <c r="CO350" t="s">
        <v>8</v>
      </c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 t="s">
        <v>8</v>
      </c>
      <c r="DD350"/>
      <c r="DE350"/>
      <c r="DF350"/>
      <c r="DG350"/>
      <c r="DH350"/>
      <c r="DI350"/>
      <c r="DJ350"/>
      <c r="DK350"/>
      <c r="DL350"/>
      <c r="DM350"/>
      <c r="DN350"/>
      <c r="DO350"/>
      <c r="DP350"/>
    </row>
    <row r="351" spans="1:120" s="5" customFormat="1">
      <c r="A351" t="str">
        <f>HYPERLINK(".\links\pep\TI-568-pep.txt","TI-568")</f>
        <v>TI-568</v>
      </c>
      <c r="B351">
        <v>568</v>
      </c>
      <c r="C351" t="s">
        <v>23</v>
      </c>
      <c r="D351">
        <v>199</v>
      </c>
      <c r="E351">
        <v>0</v>
      </c>
      <c r="F351" t="str">
        <f>HYPERLINK(".\links\cds\TI-568-cds.txt","TI-568")</f>
        <v>TI-568</v>
      </c>
      <c r="G351">
        <v>595</v>
      </c>
      <c r="H351"/>
      <c r="I351" t="s">
        <v>8</v>
      </c>
      <c r="J351" t="s">
        <v>8</v>
      </c>
      <c r="K351">
        <v>1</v>
      </c>
      <c r="L351">
        <v>0</v>
      </c>
      <c r="M351">
        <f t="shared" si="18"/>
        <v>1</v>
      </c>
      <c r="N351">
        <f t="shared" si="19"/>
        <v>1</v>
      </c>
      <c r="O351" t="s">
        <v>1353</v>
      </c>
      <c r="P351" t="s">
        <v>1178</v>
      </c>
      <c r="Q351" t="str">
        <f>HYPERLINK(".\links\NR-LIGHT\TI-568-NR-LIGHT.txt","NR-LIGHT")</f>
        <v>NR-LIGHT</v>
      </c>
      <c r="R351" s="3">
        <v>3.9999999999999998E-57</v>
      </c>
      <c r="S351">
        <v>83.5</v>
      </c>
      <c r="T351" t="str">
        <f>HYPERLINK(".\links\NR-LIGHT\TI-568-NR-LIGHT.txt","similar to ubiquitin conjugating enzyme E2, J2")</f>
        <v>similar to ubiquitin conjugating enzyme E2, J2</v>
      </c>
      <c r="U351" t="str">
        <f>HYPERLINK("http://www.ncbi.nlm.nih.gov/sutils/blink.cgi?pid=91082969","4E-057")</f>
        <v>4E-057</v>
      </c>
      <c r="V351" t="str">
        <f>HYPERLINK("http://www.ncbi.nlm.nih.gov/protein/91082969","gi|91082969")</f>
        <v>gi|91082969</v>
      </c>
      <c r="W351">
        <v>223</v>
      </c>
      <c r="X351">
        <v>169</v>
      </c>
      <c r="Y351">
        <v>225</v>
      </c>
      <c r="Z351">
        <v>58</v>
      </c>
      <c r="AA351">
        <v>76</v>
      </c>
      <c r="AB351">
        <v>78</v>
      </c>
      <c r="AC351">
        <v>18</v>
      </c>
      <c r="AD351">
        <v>41</v>
      </c>
      <c r="AE351">
        <v>12</v>
      </c>
      <c r="AF351">
        <v>1</v>
      </c>
      <c r="AG351"/>
      <c r="AH351" t="s">
        <v>13</v>
      </c>
      <c r="AI351" t="s">
        <v>51</v>
      </c>
      <c r="AJ351" t="s">
        <v>266</v>
      </c>
      <c r="AK351" t="str">
        <f>HYPERLINK(".\links\SWISSP\TI-568-SWISSP.txt","Ubiquitin-conjugating enzyme E2 J2 OS=Homo sapiens GN=UBE2J2 PE=1 SV=3")</f>
        <v>Ubiquitin-conjugating enzyme E2 J2 OS=Homo sapiens GN=UBE2J2 PE=1 SV=3</v>
      </c>
      <c r="AL351" t="str">
        <f>HYPERLINK("http://www.uniprot.org/uniprot/Q8N2K1","3E-055")</f>
        <v>3E-055</v>
      </c>
      <c r="AM351" t="s">
        <v>257</v>
      </c>
      <c r="AN351">
        <v>214</v>
      </c>
      <c r="AO351">
        <v>201</v>
      </c>
      <c r="AP351">
        <v>259</v>
      </c>
      <c r="AQ351">
        <v>56</v>
      </c>
      <c r="AR351">
        <v>78</v>
      </c>
      <c r="AS351">
        <v>88</v>
      </c>
      <c r="AT351">
        <v>14</v>
      </c>
      <c r="AU351">
        <v>45</v>
      </c>
      <c r="AV351">
        <v>12</v>
      </c>
      <c r="AW351">
        <v>1</v>
      </c>
      <c r="AX351" t="s">
        <v>68</v>
      </c>
      <c r="AY351" t="str">
        <f>HYPERLINK(".\links\PREV-RHOD-PEP\TI-568-PREV-RHOD-PEP.txt","Contig18057_340")</f>
        <v>Contig18057_340</v>
      </c>
      <c r="AZ351" s="3">
        <v>2.0000000000000001E-89</v>
      </c>
      <c r="BA351" t="s">
        <v>1161</v>
      </c>
      <c r="BB351">
        <v>323</v>
      </c>
      <c r="BC351">
        <v>187</v>
      </c>
      <c r="BD351">
        <v>240</v>
      </c>
      <c r="BE351">
        <v>85</v>
      </c>
      <c r="BF351">
        <v>78</v>
      </c>
      <c r="BG351">
        <v>27</v>
      </c>
      <c r="BH351">
        <v>0</v>
      </c>
      <c r="BI351">
        <v>40</v>
      </c>
      <c r="BJ351">
        <v>12</v>
      </c>
      <c r="BK351">
        <v>1</v>
      </c>
      <c r="BL351" t="s">
        <v>958</v>
      </c>
      <c r="BM351">
        <f>HYPERLINK(".\links\GO\TI-568-GO.txt",8E-56)</f>
        <v>8.0000000000000003E-56</v>
      </c>
      <c r="BN351" t="s">
        <v>959</v>
      </c>
      <c r="BO351" t="s">
        <v>345</v>
      </c>
      <c r="BP351" t="s">
        <v>960</v>
      </c>
      <c r="BQ351" t="s">
        <v>961</v>
      </c>
      <c r="BR351" s="3">
        <v>9.9999999999999993E-40</v>
      </c>
      <c r="BS351" t="s">
        <v>962</v>
      </c>
      <c r="BT351" t="s">
        <v>477</v>
      </c>
      <c r="BU351" t="s">
        <v>477</v>
      </c>
      <c r="BV351" t="s">
        <v>963</v>
      </c>
      <c r="BW351" s="3">
        <v>9.9999999999999993E-40</v>
      </c>
      <c r="BX351" t="s">
        <v>964</v>
      </c>
      <c r="BY351" t="s">
        <v>345</v>
      </c>
      <c r="BZ351" t="s">
        <v>960</v>
      </c>
      <c r="CA351" t="s">
        <v>965</v>
      </c>
      <c r="CB351" s="3">
        <v>9.9999999999999993E-40</v>
      </c>
      <c r="CC351" t="s">
        <v>8</v>
      </c>
      <c r="CD351"/>
      <c r="CE351"/>
      <c r="CF351" t="s">
        <v>8</v>
      </c>
      <c r="CG351"/>
      <c r="CH351"/>
      <c r="CI351" t="s">
        <v>8</v>
      </c>
      <c r="CJ351"/>
      <c r="CK351" t="s">
        <v>8</v>
      </c>
      <c r="CL351"/>
      <c r="CM351" t="s">
        <v>8</v>
      </c>
      <c r="CN351"/>
      <c r="CO351" t="s">
        <v>8</v>
      </c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 t="s">
        <v>8</v>
      </c>
      <c r="DD351"/>
      <c r="DE351"/>
      <c r="DF351"/>
      <c r="DG351"/>
      <c r="DH351"/>
      <c r="DI351"/>
      <c r="DJ351"/>
      <c r="DK351"/>
      <c r="DL351"/>
      <c r="DM351"/>
      <c r="DN351"/>
      <c r="DO351"/>
      <c r="DP351"/>
    </row>
    <row r="352" spans="1:120" s="5" customFormat="1">
      <c r="A352" t="str">
        <f>HYPERLINK(".\links\pep\TI-569-pep.txt","TI-569")</f>
        <v>TI-569</v>
      </c>
      <c r="B352">
        <v>569</v>
      </c>
      <c r="C352" t="s">
        <v>23</v>
      </c>
      <c r="D352">
        <v>99</v>
      </c>
      <c r="E352">
        <v>0</v>
      </c>
      <c r="F352" t="str">
        <f>HYPERLINK(".\links\cds\TI-569-cds.txt","TI-569")</f>
        <v>TI-569</v>
      </c>
      <c r="G352">
        <v>300</v>
      </c>
      <c r="H352"/>
      <c r="I352" t="s">
        <v>8</v>
      </c>
      <c r="J352" t="s">
        <v>6</v>
      </c>
      <c r="K352">
        <v>0</v>
      </c>
      <c r="L352">
        <v>1</v>
      </c>
      <c r="M352">
        <f t="shared" si="18"/>
        <v>-1</v>
      </c>
      <c r="N352">
        <f t="shared" si="19"/>
        <v>1</v>
      </c>
      <c r="O352" t="s">
        <v>1354</v>
      </c>
      <c r="P352" t="s">
        <v>1178</v>
      </c>
      <c r="Q352" t="str">
        <f>HYPERLINK(".\links\NR-LIGHT\TI-569-NR-LIGHT.txt","NR-LIGHT")</f>
        <v>NR-LIGHT</v>
      </c>
      <c r="R352" s="3">
        <v>9.0000000000000002E-40</v>
      </c>
      <c r="S352">
        <v>34.299999999999997</v>
      </c>
      <c r="T352" t="str">
        <f>HYPERLINK(".\links\NR-LIGHT\TI-569-NR-LIGHT.txt","hypothetical protein BRAFLDRAFT_115538")</f>
        <v>hypothetical protein BRAFLDRAFT_115538</v>
      </c>
      <c r="U352" t="str">
        <f>HYPERLINK("http://www.ncbi.nlm.nih.gov/sutils/blink.cgi?pid=260815086","9E-040")</f>
        <v>9E-040</v>
      </c>
      <c r="V352" t="str">
        <f>HYPERLINK("http://www.ncbi.nlm.nih.gov/protein/260815086","gi|260815086")</f>
        <v>gi|260815086</v>
      </c>
      <c r="W352">
        <v>164</v>
      </c>
      <c r="X352">
        <v>81</v>
      </c>
      <c r="Y352">
        <v>239</v>
      </c>
      <c r="Z352">
        <v>90</v>
      </c>
      <c r="AA352">
        <v>34</v>
      </c>
      <c r="AB352">
        <v>8</v>
      </c>
      <c r="AC352">
        <v>0</v>
      </c>
      <c r="AD352">
        <v>42</v>
      </c>
      <c r="AE352">
        <v>12</v>
      </c>
      <c r="AF352">
        <v>1</v>
      </c>
      <c r="AG352"/>
      <c r="AH352" t="s">
        <v>13</v>
      </c>
      <c r="AI352" t="s">
        <v>51</v>
      </c>
      <c r="AJ352" t="s">
        <v>301</v>
      </c>
      <c r="AK352" t="str">
        <f>HYPERLINK(".\links\SWISSP\TI-569-SWISSP.txt","Ubiquitin-conjugating enzyme E2 J2 OS=Homo sapiens GN=UBE2J2 PE=1 SV=3")</f>
        <v>Ubiquitin-conjugating enzyme E2 J2 OS=Homo sapiens GN=UBE2J2 PE=1 SV=3</v>
      </c>
      <c r="AL352" t="str">
        <f>HYPERLINK("http://www.uniprot.org/uniprot/Q8N2K1","8E-039")</f>
        <v>8E-039</v>
      </c>
      <c r="AM352" t="s">
        <v>257</v>
      </c>
      <c r="AN352">
        <v>158</v>
      </c>
      <c r="AO352">
        <v>79</v>
      </c>
      <c r="AP352">
        <v>259</v>
      </c>
      <c r="AQ352">
        <v>90</v>
      </c>
      <c r="AR352">
        <v>31</v>
      </c>
      <c r="AS352">
        <v>8</v>
      </c>
      <c r="AT352">
        <v>0</v>
      </c>
      <c r="AU352">
        <v>45</v>
      </c>
      <c r="AV352">
        <v>12</v>
      </c>
      <c r="AW352">
        <v>1</v>
      </c>
      <c r="AX352" t="s">
        <v>68</v>
      </c>
      <c r="AY352" t="str">
        <f>HYPERLINK(".\links\PREV-RHOD-PEP\TI-569-PREV-RHOD-PEP.txt","Contig18057_340")</f>
        <v>Contig18057_340</v>
      </c>
      <c r="AZ352" s="3">
        <v>2E-45</v>
      </c>
      <c r="BA352" t="s">
        <v>1161</v>
      </c>
      <c r="BB352">
        <v>177</v>
      </c>
      <c r="BC352">
        <v>81</v>
      </c>
      <c r="BD352">
        <v>240</v>
      </c>
      <c r="BE352">
        <v>98</v>
      </c>
      <c r="BF352">
        <v>34</v>
      </c>
      <c r="BG352">
        <v>1</v>
      </c>
      <c r="BH352">
        <v>0</v>
      </c>
      <c r="BI352">
        <v>40</v>
      </c>
      <c r="BJ352">
        <v>12</v>
      </c>
      <c r="BK352">
        <v>1</v>
      </c>
      <c r="BL352" t="s">
        <v>958</v>
      </c>
      <c r="BM352">
        <f>HYPERLINK(".\links\GO\TI-569-GO.txt",3E-39)</f>
        <v>3.0000000000000003E-39</v>
      </c>
      <c r="BN352" t="s">
        <v>959</v>
      </c>
      <c r="BO352" t="s">
        <v>345</v>
      </c>
      <c r="BP352" t="s">
        <v>960</v>
      </c>
      <c r="BQ352" t="s">
        <v>961</v>
      </c>
      <c r="BR352" s="3">
        <v>2.0000000000000001E-32</v>
      </c>
      <c r="BS352" t="s">
        <v>962</v>
      </c>
      <c r="BT352" t="s">
        <v>477</v>
      </c>
      <c r="BU352" t="s">
        <v>477</v>
      </c>
      <c r="BV352" t="s">
        <v>963</v>
      </c>
      <c r="BW352" s="3">
        <v>2.0000000000000001E-32</v>
      </c>
      <c r="BX352" t="s">
        <v>964</v>
      </c>
      <c r="BY352" t="s">
        <v>345</v>
      </c>
      <c r="BZ352" t="s">
        <v>960</v>
      </c>
      <c r="CA352" t="s">
        <v>965</v>
      </c>
      <c r="CB352" s="3">
        <v>2.0000000000000001E-32</v>
      </c>
      <c r="CC352" t="s">
        <v>8</v>
      </c>
      <c r="CD352"/>
      <c r="CE352"/>
      <c r="CF352" t="s">
        <v>8</v>
      </c>
      <c r="CG352"/>
      <c r="CH352"/>
      <c r="CI352" t="s">
        <v>8</v>
      </c>
      <c r="CJ352"/>
      <c r="CK352" t="s">
        <v>8</v>
      </c>
      <c r="CL352"/>
      <c r="CM352" t="s">
        <v>8</v>
      </c>
      <c r="CN352"/>
      <c r="CO352" t="s">
        <v>8</v>
      </c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 t="s">
        <v>8</v>
      </c>
      <c r="DD352"/>
      <c r="DE352"/>
      <c r="DF352"/>
      <c r="DG352"/>
      <c r="DH352"/>
      <c r="DI352"/>
      <c r="DJ352"/>
      <c r="DK352"/>
      <c r="DL352"/>
      <c r="DM352"/>
      <c r="DN352"/>
      <c r="DO352"/>
      <c r="DP352"/>
    </row>
    <row r="353" spans="1:120" s="5" customFormat="1">
      <c r="A353" s="6" t="str">
        <f>HYPERLINK(".\links\pep\TI-570-pep.txt","TI-570")</f>
        <v>TI-570</v>
      </c>
      <c r="B353" s="6">
        <v>570</v>
      </c>
      <c r="C353" s="6" t="s">
        <v>27</v>
      </c>
      <c r="D353" s="6">
        <v>75</v>
      </c>
      <c r="E353" s="6">
        <v>40</v>
      </c>
      <c r="F353" s="6" t="str">
        <f>HYPERLINK(".\links\cds\TI-570-cds.txt","TI-570")</f>
        <v>TI-570</v>
      </c>
      <c r="G353" s="6">
        <v>228</v>
      </c>
      <c r="H353" s="6" t="s">
        <v>24</v>
      </c>
      <c r="I353" s="6" t="s">
        <v>8</v>
      </c>
      <c r="J353" s="6" t="s">
        <v>6</v>
      </c>
      <c r="K353" s="6">
        <v>0</v>
      </c>
      <c r="L353" s="6">
        <v>4</v>
      </c>
      <c r="M353" s="6">
        <f t="shared" si="18"/>
        <v>-4</v>
      </c>
      <c r="N353" s="6">
        <f t="shared" si="19"/>
        <v>4</v>
      </c>
      <c r="O353" s="6" t="s">
        <v>1170</v>
      </c>
      <c r="P353" s="6" t="s">
        <v>1171</v>
      </c>
      <c r="Q353" s="6"/>
      <c r="R353" s="6"/>
      <c r="S353" s="6"/>
      <c r="T353" s="6" t="s">
        <v>8</v>
      </c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 t="s">
        <v>8</v>
      </c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 t="s">
        <v>8</v>
      </c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 t="s">
        <v>8</v>
      </c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 t="s">
        <v>8</v>
      </c>
      <c r="CD353" s="6"/>
      <c r="CE353" s="6"/>
      <c r="CF353" s="6" t="s">
        <v>8</v>
      </c>
      <c r="CG353" s="6"/>
      <c r="CH353" s="6"/>
      <c r="CI353" s="6" t="s">
        <v>8</v>
      </c>
      <c r="CJ353" s="6"/>
      <c r="CK353" s="6" t="s">
        <v>8</v>
      </c>
      <c r="CL353" s="6"/>
      <c r="CM353" s="6" t="s">
        <v>8</v>
      </c>
      <c r="CN353" s="6"/>
      <c r="CO353" s="6" t="s">
        <v>8</v>
      </c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 t="s">
        <v>8</v>
      </c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</row>
    <row r="354" spans="1:120" s="5" customFormat="1">
      <c r="A354" s="6" t="str">
        <f>HYPERLINK(".\links\pep\TI-571-pep.txt","TI-571")</f>
        <v>TI-571</v>
      </c>
      <c r="B354" s="6">
        <v>571</v>
      </c>
      <c r="C354" s="6" t="s">
        <v>12</v>
      </c>
      <c r="D354" s="6">
        <v>70</v>
      </c>
      <c r="E354" s="6">
        <v>0</v>
      </c>
      <c r="F354" s="6" t="str">
        <f>HYPERLINK(".\links\cds\TI-571-cds.txt","TI-571")</f>
        <v>TI-571</v>
      </c>
      <c r="G354" s="6">
        <v>207</v>
      </c>
      <c r="H354" s="6"/>
      <c r="I354" s="6" t="s">
        <v>8</v>
      </c>
      <c r="J354" s="6" t="s">
        <v>8</v>
      </c>
      <c r="K354" s="6">
        <v>0</v>
      </c>
      <c r="L354" s="6">
        <v>1</v>
      </c>
      <c r="M354" s="6">
        <f t="shared" si="18"/>
        <v>-1</v>
      </c>
      <c r="N354" s="6">
        <f t="shared" si="19"/>
        <v>1</v>
      </c>
      <c r="O354" s="6" t="s">
        <v>1170</v>
      </c>
      <c r="P354" s="6" t="s">
        <v>1171</v>
      </c>
      <c r="Q354" s="6"/>
      <c r="R354" s="6"/>
      <c r="S354" s="6"/>
      <c r="T354" s="6" t="s">
        <v>8</v>
      </c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 t="s">
        <v>8</v>
      </c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 t="s">
        <v>8</v>
      </c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 t="s">
        <v>8</v>
      </c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 t="s">
        <v>8</v>
      </c>
      <c r="CD354" s="6"/>
      <c r="CE354" s="6"/>
      <c r="CF354" s="6" t="s">
        <v>8</v>
      </c>
      <c r="CG354" s="6"/>
      <c r="CH354" s="6"/>
      <c r="CI354" s="6" t="s">
        <v>8</v>
      </c>
      <c r="CJ354" s="6"/>
      <c r="CK354" s="6" t="s">
        <v>8</v>
      </c>
      <c r="CL354" s="6"/>
      <c r="CM354" s="6" t="s">
        <v>8</v>
      </c>
      <c r="CN354" s="6"/>
      <c r="CO354" s="6" t="s">
        <v>8</v>
      </c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 t="s">
        <v>8</v>
      </c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</row>
    <row r="355" spans="1:120" s="5" customFormat="1">
      <c r="A355" t="str">
        <f>HYPERLINK(".\links\pep\TI-573-pep.txt","TI-573")</f>
        <v>TI-573</v>
      </c>
      <c r="B355">
        <v>573</v>
      </c>
      <c r="C355" t="s">
        <v>28</v>
      </c>
      <c r="D355">
        <v>138</v>
      </c>
      <c r="E355" s="2">
        <v>0.72463770000000005</v>
      </c>
      <c r="F355" t="str">
        <f>HYPERLINK(".\links\cds\TI-573-cds.txt","TI-573")</f>
        <v>TI-573</v>
      </c>
      <c r="G355">
        <v>417</v>
      </c>
      <c r="H355"/>
      <c r="I355" t="s">
        <v>8</v>
      </c>
      <c r="J355" t="s">
        <v>6</v>
      </c>
      <c r="K355">
        <v>1</v>
      </c>
      <c r="L355">
        <v>8</v>
      </c>
      <c r="M355">
        <f t="shared" si="18"/>
        <v>-7</v>
      </c>
      <c r="N355">
        <f t="shared" si="19"/>
        <v>7</v>
      </c>
      <c r="O355" t="s">
        <v>1355</v>
      </c>
      <c r="P355" t="s">
        <v>1178</v>
      </c>
      <c r="Q355" t="str">
        <f>HYPERLINK(".\links\NR-LIGHT\TI-573-NR-LIGHT.txt","NR-LIGHT")</f>
        <v>NR-LIGHT</v>
      </c>
      <c r="R355" s="3">
        <v>4E-55</v>
      </c>
      <c r="S355">
        <v>27.2</v>
      </c>
      <c r="T355" t="str">
        <f>HYPERLINK(".\links\NR-LIGHT\TI-573-NR-LIGHT.txt","similar to thioredoxin reductase isoform 2")</f>
        <v>similar to thioredoxin reductase isoform 2</v>
      </c>
      <c r="U355" t="str">
        <f>HYPERLINK("http://www.ncbi.nlm.nih.gov/sutils/blink.cgi?pid=91079422","4E-055")</f>
        <v>4E-055</v>
      </c>
      <c r="V355" t="str">
        <f>HYPERLINK("http://www.ncbi.nlm.nih.gov/protein/91079422","gi|91079422")</f>
        <v>gi|91079422</v>
      </c>
      <c r="W355">
        <v>214</v>
      </c>
      <c r="X355">
        <v>133</v>
      </c>
      <c r="Y355">
        <v>492</v>
      </c>
      <c r="Z355">
        <v>71</v>
      </c>
      <c r="AA355">
        <v>27</v>
      </c>
      <c r="AB355">
        <v>38</v>
      </c>
      <c r="AC355">
        <v>0</v>
      </c>
      <c r="AD355">
        <v>359</v>
      </c>
      <c r="AE355">
        <v>5</v>
      </c>
      <c r="AF355">
        <v>1</v>
      </c>
      <c r="AG355"/>
      <c r="AH355" t="s">
        <v>13</v>
      </c>
      <c r="AI355" t="s">
        <v>51</v>
      </c>
      <c r="AJ355" t="s">
        <v>266</v>
      </c>
      <c r="AK355" t="str">
        <f>HYPERLINK(".\links\SWISSP\TI-573-SWISSP.txt","Thioredoxin reductase 2, mitochondrial OS=Bos taurus GN=TXNRD2 PE=1 SV=2")</f>
        <v>Thioredoxin reductase 2, mitochondrial OS=Bos taurus GN=TXNRD2 PE=1 SV=2</v>
      </c>
      <c r="AL355" t="str">
        <f>HYPERLINK("http://www.uniprot.org/uniprot/Q9N2I8","2E-051")</f>
        <v>2E-051</v>
      </c>
      <c r="AM355" t="s">
        <v>63</v>
      </c>
      <c r="AN355">
        <v>200</v>
      </c>
      <c r="AO355">
        <v>131</v>
      </c>
      <c r="AP355">
        <v>511</v>
      </c>
      <c r="AQ355">
        <v>65</v>
      </c>
      <c r="AR355">
        <v>26</v>
      </c>
      <c r="AS355">
        <v>45</v>
      </c>
      <c r="AT355">
        <v>0</v>
      </c>
      <c r="AU355">
        <v>378</v>
      </c>
      <c r="AV355">
        <v>5</v>
      </c>
      <c r="AW355">
        <v>1</v>
      </c>
      <c r="AX355" t="s">
        <v>64</v>
      </c>
      <c r="AY355" t="str">
        <f>HYPERLINK(".\links\PREV-RHOD-PEP\TI-573-PREV-RHOD-PEP.txt","Contig17896_35")</f>
        <v>Contig17896_35</v>
      </c>
      <c r="AZ355" s="3">
        <v>2E-73</v>
      </c>
      <c r="BA355" t="s">
        <v>991</v>
      </c>
      <c r="BB355">
        <v>270</v>
      </c>
      <c r="BC355">
        <v>133</v>
      </c>
      <c r="BD355">
        <v>526</v>
      </c>
      <c r="BE355">
        <v>93</v>
      </c>
      <c r="BF355">
        <v>25</v>
      </c>
      <c r="BG355">
        <v>9</v>
      </c>
      <c r="BH355">
        <v>0</v>
      </c>
      <c r="BI355">
        <v>393</v>
      </c>
      <c r="BJ355">
        <v>5</v>
      </c>
      <c r="BK355">
        <v>1</v>
      </c>
      <c r="BL355" t="s">
        <v>366</v>
      </c>
      <c r="BM355">
        <f>HYPERLINK(".\links\GO\TI-573-GO.txt",8E-51)</f>
        <v>8.0000000000000001E-51</v>
      </c>
      <c r="BN355" t="s">
        <v>367</v>
      </c>
      <c r="BO355" t="s">
        <v>345</v>
      </c>
      <c r="BP355" t="s">
        <v>368</v>
      </c>
      <c r="BQ355" t="s">
        <v>369</v>
      </c>
      <c r="BR355" s="3">
        <v>8.0000000000000001E-51</v>
      </c>
      <c r="BS355" t="s">
        <v>356</v>
      </c>
      <c r="BT355" t="s">
        <v>323</v>
      </c>
      <c r="BU355" t="s">
        <v>334</v>
      </c>
      <c r="BV355" t="s">
        <v>357</v>
      </c>
      <c r="BW355" s="3">
        <v>8.0000000000000001E-51</v>
      </c>
      <c r="BX355" t="s">
        <v>370</v>
      </c>
      <c r="BY355" t="s">
        <v>345</v>
      </c>
      <c r="BZ355" t="s">
        <v>368</v>
      </c>
      <c r="CA355" t="s">
        <v>371</v>
      </c>
      <c r="CB355" s="3">
        <v>8.0000000000000001E-51</v>
      </c>
      <c r="CC355" t="s">
        <v>8</v>
      </c>
      <c r="CD355"/>
      <c r="CE355"/>
      <c r="CF355" t="s">
        <v>8</v>
      </c>
      <c r="CG355"/>
      <c r="CH355"/>
      <c r="CI355" t="s">
        <v>8</v>
      </c>
      <c r="CJ355"/>
      <c r="CK355" t="s">
        <v>8</v>
      </c>
      <c r="CL355"/>
      <c r="CM355" t="s">
        <v>8</v>
      </c>
      <c r="CN355"/>
      <c r="CO355" t="s">
        <v>8</v>
      </c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 t="s">
        <v>8</v>
      </c>
      <c r="DD355"/>
      <c r="DE355"/>
      <c r="DF355"/>
      <c r="DG355"/>
      <c r="DH355"/>
      <c r="DI355"/>
      <c r="DJ355"/>
      <c r="DK355"/>
      <c r="DL355"/>
      <c r="DM355"/>
      <c r="DN355"/>
      <c r="DO355"/>
      <c r="DP355"/>
    </row>
    <row r="356" spans="1:120" s="5" customFormat="1">
      <c r="A356" t="str">
        <f>HYPERLINK(".\links\pep\TI-574-pep.txt","TI-574")</f>
        <v>TI-574</v>
      </c>
      <c r="B356">
        <v>574</v>
      </c>
      <c r="C356" t="s">
        <v>25</v>
      </c>
      <c r="D356">
        <v>104</v>
      </c>
      <c r="E356" s="2">
        <v>13.461539999999999</v>
      </c>
      <c r="F356" t="str">
        <f>HYPERLINK(".\links\cds\TI-574-cds.txt","TI-574")</f>
        <v>TI-574</v>
      </c>
      <c r="G356">
        <v>315</v>
      </c>
      <c r="H356"/>
      <c r="I356" t="s">
        <v>8</v>
      </c>
      <c r="J356" t="s">
        <v>6</v>
      </c>
      <c r="K356">
        <v>0</v>
      </c>
      <c r="L356">
        <v>1</v>
      </c>
      <c r="M356">
        <f t="shared" si="18"/>
        <v>-1</v>
      </c>
      <c r="N356">
        <f t="shared" si="19"/>
        <v>1</v>
      </c>
      <c r="O356" t="s">
        <v>1356</v>
      </c>
      <c r="P356" t="s">
        <v>1178</v>
      </c>
      <c r="Q356" t="str">
        <f>HYPERLINK(".\links\NR-LIGHT\TI-574-NR-LIGHT.txt","NR-LIGHT")</f>
        <v>NR-LIGHT</v>
      </c>
      <c r="R356" s="3">
        <v>2.0000000000000002E-31</v>
      </c>
      <c r="S356">
        <v>18.600000000000001</v>
      </c>
      <c r="T356" t="str">
        <f>HYPERLINK(".\links\NR-LIGHT\TI-574-NR-LIGHT.txt","thioredoxin reductase 1 isoform 1")</f>
        <v>thioredoxin reductase 1 isoform 1</v>
      </c>
      <c r="U356" t="str">
        <f>HYPERLINK("http://www.ncbi.nlm.nih.gov/sutils/blink.cgi?pid=295842222","2E-031")</f>
        <v>2E-031</v>
      </c>
      <c r="V356" t="str">
        <f>HYPERLINK("http://www.ncbi.nlm.nih.gov/protein/295842222","gi|295842222")</f>
        <v>gi|295842222</v>
      </c>
      <c r="W356">
        <v>136</v>
      </c>
      <c r="X356">
        <v>99</v>
      </c>
      <c r="Y356">
        <v>537</v>
      </c>
      <c r="Z356">
        <v>63</v>
      </c>
      <c r="AA356">
        <v>19</v>
      </c>
      <c r="AB356">
        <v>37</v>
      </c>
      <c r="AC356">
        <v>0</v>
      </c>
      <c r="AD356">
        <v>438</v>
      </c>
      <c r="AE356">
        <v>5</v>
      </c>
      <c r="AF356">
        <v>1</v>
      </c>
      <c r="AG356"/>
      <c r="AH356" t="s">
        <v>13</v>
      </c>
      <c r="AI356" t="s">
        <v>51</v>
      </c>
      <c r="AJ356" t="s">
        <v>83</v>
      </c>
      <c r="AK356" t="str">
        <f>HYPERLINK(".\links\SWISSP\TI-574-SWISSP.txt","Thioredoxin reductase 2, mitochondrial OS=Bos taurus GN=TXNRD2 PE=1 SV=2")</f>
        <v>Thioredoxin reductase 2, mitochondrial OS=Bos taurus GN=TXNRD2 PE=1 SV=2</v>
      </c>
      <c r="AL356" t="str">
        <f>HYPERLINK("http://www.uniprot.org/uniprot/Q9N2I8","2E-028")</f>
        <v>2E-028</v>
      </c>
      <c r="AM356" t="s">
        <v>63</v>
      </c>
      <c r="AN356">
        <v>124</v>
      </c>
      <c r="AO356">
        <v>101</v>
      </c>
      <c r="AP356">
        <v>511</v>
      </c>
      <c r="AQ356">
        <v>55</v>
      </c>
      <c r="AR356">
        <v>20</v>
      </c>
      <c r="AS356">
        <v>45</v>
      </c>
      <c r="AT356">
        <v>0</v>
      </c>
      <c r="AU356">
        <v>408</v>
      </c>
      <c r="AV356">
        <v>1</v>
      </c>
      <c r="AW356">
        <v>1</v>
      </c>
      <c r="AX356" t="s">
        <v>64</v>
      </c>
      <c r="AY356" t="str">
        <f>HYPERLINK(".\links\PREV-RHOD-PEP\TI-574-PREV-RHOD-PEP.txt","Contig17896_35")</f>
        <v>Contig17896_35</v>
      </c>
      <c r="AZ356" s="3">
        <v>1.9999999999999999E-44</v>
      </c>
      <c r="BA356" t="s">
        <v>991</v>
      </c>
      <c r="BB356">
        <v>173</v>
      </c>
      <c r="BC356">
        <v>103</v>
      </c>
      <c r="BD356">
        <v>526</v>
      </c>
      <c r="BE356">
        <v>79</v>
      </c>
      <c r="BF356">
        <v>20</v>
      </c>
      <c r="BG356">
        <v>21</v>
      </c>
      <c r="BH356">
        <v>0</v>
      </c>
      <c r="BI356">
        <v>423</v>
      </c>
      <c r="BJ356">
        <v>1</v>
      </c>
      <c r="BK356">
        <v>1</v>
      </c>
      <c r="BL356" t="s">
        <v>366</v>
      </c>
      <c r="BM356">
        <f>HYPERLINK(".\links\GO\TI-574-GO.txt",1E-28)</f>
        <v>9.9999999999999997E-29</v>
      </c>
      <c r="BN356" t="s">
        <v>367</v>
      </c>
      <c r="BO356" t="s">
        <v>345</v>
      </c>
      <c r="BP356" t="s">
        <v>368</v>
      </c>
      <c r="BQ356" t="s">
        <v>369</v>
      </c>
      <c r="BR356" s="3">
        <v>9.9999999999999997E-29</v>
      </c>
      <c r="BS356" t="s">
        <v>356</v>
      </c>
      <c r="BT356" t="s">
        <v>323</v>
      </c>
      <c r="BU356" t="s">
        <v>334</v>
      </c>
      <c r="BV356" t="s">
        <v>357</v>
      </c>
      <c r="BW356" s="3">
        <v>9.9999999999999997E-29</v>
      </c>
      <c r="BX356" t="s">
        <v>370</v>
      </c>
      <c r="BY356" t="s">
        <v>345</v>
      </c>
      <c r="BZ356" t="s">
        <v>368</v>
      </c>
      <c r="CA356" t="s">
        <v>371</v>
      </c>
      <c r="CB356" s="3">
        <v>9.9999999999999997E-29</v>
      </c>
      <c r="CC356" t="s">
        <v>8</v>
      </c>
      <c r="CD356"/>
      <c r="CE356"/>
      <c r="CF356" t="s">
        <v>8</v>
      </c>
      <c r="CG356"/>
      <c r="CH356"/>
      <c r="CI356" t="s">
        <v>8</v>
      </c>
      <c r="CJ356"/>
      <c r="CK356" t="s">
        <v>8</v>
      </c>
      <c r="CL356"/>
      <c r="CM356" t="s">
        <v>8</v>
      </c>
      <c r="CN356"/>
      <c r="CO356" t="s">
        <v>8</v>
      </c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 t="s">
        <v>8</v>
      </c>
      <c r="DD356"/>
      <c r="DE356"/>
      <c r="DF356"/>
      <c r="DG356"/>
      <c r="DH356"/>
      <c r="DI356"/>
      <c r="DJ356"/>
      <c r="DK356"/>
      <c r="DL356"/>
      <c r="DM356"/>
      <c r="DN356"/>
      <c r="DO356"/>
      <c r="DP356"/>
    </row>
    <row r="357" spans="1:120" s="5" customFormat="1">
      <c r="A357" t="str">
        <f>HYPERLINK(".\links\pep\TI-575-pep.txt","TI-575")</f>
        <v>TI-575</v>
      </c>
      <c r="B357">
        <v>575</v>
      </c>
      <c r="C357" t="s">
        <v>23</v>
      </c>
      <c r="D357">
        <v>93</v>
      </c>
      <c r="E357">
        <v>0</v>
      </c>
      <c r="F357" t="str">
        <f>HYPERLINK(".\links\cds\TI-575-cds.txt","TI-575")</f>
        <v>TI-575</v>
      </c>
      <c r="G357">
        <v>276</v>
      </c>
      <c r="H357"/>
      <c r="I357" t="s">
        <v>8</v>
      </c>
      <c r="J357" t="s">
        <v>8</v>
      </c>
      <c r="K357">
        <v>4</v>
      </c>
      <c r="L357">
        <v>2</v>
      </c>
      <c r="M357">
        <f t="shared" si="18"/>
        <v>2</v>
      </c>
      <c r="N357">
        <f t="shared" si="19"/>
        <v>2</v>
      </c>
      <c r="O357" t="s">
        <v>1357</v>
      </c>
      <c r="P357" t="s">
        <v>1172</v>
      </c>
      <c r="Q357" t="str">
        <f>HYPERLINK(".\links\GO\TI-575-GO.txt","GO")</f>
        <v>GO</v>
      </c>
      <c r="R357" s="3">
        <v>9.9999999999999991E-22</v>
      </c>
      <c r="S357">
        <v>41.5</v>
      </c>
      <c r="T357" t="str">
        <f>HYPERLINK(".\links\NR-LIGHT\TI-575-NR-LIGHT.txt","truncated ATPase subunit 6")</f>
        <v>truncated ATPase subunit 6</v>
      </c>
      <c r="U357" t="str">
        <f>HYPERLINK("http://www.ncbi.nlm.nih.gov/sutils/blink.cgi?pid=149898887","3E-034")</f>
        <v>3E-034</v>
      </c>
      <c r="V357" t="str">
        <f>HYPERLINK("http://www.ncbi.nlm.nih.gov/protein/149898887","gi|149898887")</f>
        <v>gi|149898887</v>
      </c>
      <c r="W357">
        <v>145</v>
      </c>
      <c r="X357">
        <v>92</v>
      </c>
      <c r="Y357">
        <v>222</v>
      </c>
      <c r="Z357">
        <v>76</v>
      </c>
      <c r="AA357">
        <v>42</v>
      </c>
      <c r="AB357">
        <v>22</v>
      </c>
      <c r="AC357">
        <v>0</v>
      </c>
      <c r="AD357">
        <v>118</v>
      </c>
      <c r="AE357">
        <v>1</v>
      </c>
      <c r="AF357">
        <v>1</v>
      </c>
      <c r="AG357"/>
      <c r="AH357" t="s">
        <v>13</v>
      </c>
      <c r="AI357" t="s">
        <v>51</v>
      </c>
      <c r="AJ357" t="s">
        <v>273</v>
      </c>
      <c r="AK357" t="str">
        <f>HYPERLINK(".\links\SWISSP\TI-575-SWISSP.txt","ATP synthase subunit a OS=Aedes aegypti GN=mt:ATPase6 PE=2 SV=1")</f>
        <v>ATP synthase subunit a OS=Aedes aegypti GN=mt:ATPase6 PE=2 SV=1</v>
      </c>
      <c r="AL357" t="str">
        <f>HYPERLINK("http://www.uniprot.org/uniprot/Q1HRS5","2E-021")</f>
        <v>2E-021</v>
      </c>
      <c r="AM357" t="s">
        <v>258</v>
      </c>
      <c r="AN357">
        <v>100</v>
      </c>
      <c r="AO357">
        <v>91</v>
      </c>
      <c r="AP357">
        <v>226</v>
      </c>
      <c r="AQ357">
        <v>53</v>
      </c>
      <c r="AR357">
        <v>41</v>
      </c>
      <c r="AS357">
        <v>43</v>
      </c>
      <c r="AT357">
        <v>1</v>
      </c>
      <c r="AU357">
        <v>122</v>
      </c>
      <c r="AV357">
        <v>3</v>
      </c>
      <c r="AW357">
        <v>1</v>
      </c>
      <c r="AX357" t="s">
        <v>76</v>
      </c>
      <c r="AY357" t="s">
        <v>8</v>
      </c>
      <c r="AZ357"/>
      <c r="BA357"/>
      <c r="BB357"/>
      <c r="BC357"/>
      <c r="BD357"/>
      <c r="BE357"/>
      <c r="BF357"/>
      <c r="BG357"/>
      <c r="BH357"/>
      <c r="BI357"/>
      <c r="BJ357"/>
      <c r="BK357"/>
      <c r="BL357" t="s">
        <v>966</v>
      </c>
      <c r="BM357">
        <f>HYPERLINK(".\links\GO\TI-575-GO.txt",1E-21)</f>
        <v>9.9999999999999991E-22</v>
      </c>
      <c r="BN357" t="s">
        <v>548</v>
      </c>
      <c r="BO357" t="s">
        <v>345</v>
      </c>
      <c r="BP357" t="s">
        <v>349</v>
      </c>
      <c r="BQ357" t="s">
        <v>549</v>
      </c>
      <c r="BR357" s="3">
        <v>9.9999999999999991E-22</v>
      </c>
      <c r="BS357" t="s">
        <v>608</v>
      </c>
      <c r="BT357" t="s">
        <v>323</v>
      </c>
      <c r="BU357" t="s">
        <v>334</v>
      </c>
      <c r="BV357" t="s">
        <v>609</v>
      </c>
      <c r="BW357" s="3">
        <v>9.9999999999999991E-22</v>
      </c>
      <c r="BX357" t="s">
        <v>967</v>
      </c>
      <c r="BY357" t="s">
        <v>345</v>
      </c>
      <c r="BZ357" t="s">
        <v>349</v>
      </c>
      <c r="CA357" t="s">
        <v>968</v>
      </c>
      <c r="CB357" s="3">
        <v>9.9999999999999991E-22</v>
      </c>
      <c r="CC357" t="s">
        <v>8</v>
      </c>
      <c r="CD357"/>
      <c r="CE357"/>
      <c r="CF357" t="s">
        <v>8</v>
      </c>
      <c r="CG357"/>
      <c r="CH357"/>
      <c r="CI357" t="s">
        <v>8</v>
      </c>
      <c r="CJ357"/>
      <c r="CK357" t="s">
        <v>8</v>
      </c>
      <c r="CL357"/>
      <c r="CM357" t="s">
        <v>8</v>
      </c>
      <c r="CN357"/>
      <c r="CO357" t="str">
        <f>HYPERLINK(".\links\MIT-PLA\TI-575-MIT-PLA.txt","Triatoma infestans clone TI-81 truncated ATPase subunit 6 mRNA, partial cds;")</f>
        <v>Triatoma infestans clone TI-81 truncated ATPase subunit 6 mRNA, partial cds;</v>
      </c>
      <c r="CP357" t="str">
        <f>HYPERLINK("http://www.ncbi.nlm.nih.gov/entrez/viewer.fcgi?db=nucleotide&amp;val=149898886","1E-123")</f>
        <v>1E-123</v>
      </c>
      <c r="CQ357" t="str">
        <f>HYPERLINK("http://www.ncbi.nlm.nih.gov/entrez/viewer.fcgi?db=nucleotide&amp;val=149898886","gi|149898886")</f>
        <v>gi|149898886</v>
      </c>
      <c r="CR357">
        <v>436</v>
      </c>
      <c r="CS357">
        <v>275</v>
      </c>
      <c r="CT357">
        <v>666</v>
      </c>
      <c r="CU357">
        <v>94</v>
      </c>
      <c r="CV357">
        <v>41</v>
      </c>
      <c r="CW357">
        <v>14</v>
      </c>
      <c r="CX357">
        <v>0</v>
      </c>
      <c r="CY357">
        <v>352</v>
      </c>
      <c r="CZ357">
        <v>1</v>
      </c>
      <c r="DA357">
        <v>1</v>
      </c>
      <c r="DB357" t="s">
        <v>51</v>
      </c>
      <c r="DC357" t="s">
        <v>8</v>
      </c>
      <c r="DD357"/>
      <c r="DE357"/>
      <c r="DF357"/>
      <c r="DG357"/>
      <c r="DH357"/>
      <c r="DI357"/>
      <c r="DJ357"/>
      <c r="DK357"/>
      <c r="DL357"/>
      <c r="DM357"/>
      <c r="DN357"/>
      <c r="DO357"/>
      <c r="DP357"/>
    </row>
    <row r="358" spans="1:120" s="5" customFormat="1">
      <c r="A358" t="str">
        <f>HYPERLINK(".\links\pep\TI-576-pep.txt","TI-576")</f>
        <v>TI-576</v>
      </c>
      <c r="B358">
        <v>576</v>
      </c>
      <c r="C358" t="s">
        <v>23</v>
      </c>
      <c r="D358">
        <v>114</v>
      </c>
      <c r="E358">
        <v>0</v>
      </c>
      <c r="F358" t="str">
        <f>HYPERLINK(".\links\cds\TI-576-cds.txt","TI-576")</f>
        <v>TI-576</v>
      </c>
      <c r="G358">
        <v>341</v>
      </c>
      <c r="H358"/>
      <c r="I358" t="s">
        <v>8</v>
      </c>
      <c r="J358" t="s">
        <v>8</v>
      </c>
      <c r="K358">
        <v>1</v>
      </c>
      <c r="L358">
        <v>0</v>
      </c>
      <c r="M358">
        <f t="shared" si="18"/>
        <v>1</v>
      </c>
      <c r="N358">
        <f t="shared" si="19"/>
        <v>1</v>
      </c>
      <c r="O358" t="s">
        <v>1357</v>
      </c>
      <c r="P358" t="s">
        <v>1172</v>
      </c>
      <c r="Q358" t="str">
        <f>HYPERLINK(".\links\GO\TI-576-GO.txt","GO")</f>
        <v>GO</v>
      </c>
      <c r="R358" s="3">
        <v>7.9999999999999998E-28</v>
      </c>
      <c r="S358">
        <v>46.8</v>
      </c>
      <c r="T358" t="str">
        <f>HYPERLINK(".\links\NR-LIGHT\TI-576-NR-LIGHT.txt","truncated ATPase subunit 6")</f>
        <v>truncated ATPase subunit 6</v>
      </c>
      <c r="U358" t="str">
        <f>HYPERLINK("http://www.ncbi.nlm.nih.gov/sutils/blink.cgi?pid=149898887","2E-035")</f>
        <v>2E-035</v>
      </c>
      <c r="V358" t="str">
        <f>HYPERLINK("http://www.ncbi.nlm.nih.gov/protein/149898887","gi|149898887")</f>
        <v>gi|149898887</v>
      </c>
      <c r="W358">
        <v>149</v>
      </c>
      <c r="X358">
        <v>104</v>
      </c>
      <c r="Y358">
        <v>222</v>
      </c>
      <c r="Z358">
        <v>72</v>
      </c>
      <c r="AA358">
        <v>47</v>
      </c>
      <c r="AB358">
        <v>29</v>
      </c>
      <c r="AC358">
        <v>0</v>
      </c>
      <c r="AD358">
        <v>118</v>
      </c>
      <c r="AE358">
        <v>1</v>
      </c>
      <c r="AF358">
        <v>1</v>
      </c>
      <c r="AG358"/>
      <c r="AH358" t="s">
        <v>13</v>
      </c>
      <c r="AI358" t="s">
        <v>51</v>
      </c>
      <c r="AJ358" t="s">
        <v>273</v>
      </c>
      <c r="AK358" t="str">
        <f>HYPERLINK(".\links\SWISSP\TI-576-SWISSP.txt","ATP synthase subunit a OS=Drosophila melanogaster GN=mt:ATPase6 PE=3 SV=2")</f>
        <v>ATP synthase subunit a OS=Drosophila melanogaster GN=mt:ATPase6 PE=3 SV=2</v>
      </c>
      <c r="AL358" t="str">
        <f>HYPERLINK("http://www.uniprot.org/uniprot/P00850","3E-027")</f>
        <v>3E-027</v>
      </c>
      <c r="AM358" t="s">
        <v>259</v>
      </c>
      <c r="AN358">
        <v>120</v>
      </c>
      <c r="AO358">
        <v>104</v>
      </c>
      <c r="AP358">
        <v>224</v>
      </c>
      <c r="AQ358">
        <v>57</v>
      </c>
      <c r="AR358">
        <v>47</v>
      </c>
      <c r="AS358">
        <v>45</v>
      </c>
      <c r="AT358">
        <v>0</v>
      </c>
      <c r="AU358">
        <v>119</v>
      </c>
      <c r="AV358">
        <v>1</v>
      </c>
      <c r="AW358">
        <v>1</v>
      </c>
      <c r="AX358" t="s">
        <v>52</v>
      </c>
      <c r="AY358" t="s">
        <v>8</v>
      </c>
      <c r="AZ358"/>
      <c r="BA358"/>
      <c r="BB358"/>
      <c r="BC358"/>
      <c r="BD358"/>
      <c r="BE358"/>
      <c r="BF358"/>
      <c r="BG358"/>
      <c r="BH358"/>
      <c r="BI358"/>
      <c r="BJ358"/>
      <c r="BK358"/>
      <c r="BL358" t="s">
        <v>966</v>
      </c>
      <c r="BM358">
        <f>HYPERLINK(".\links\GO\TI-576-GO.txt",8E-28)</f>
        <v>7.9999999999999998E-28</v>
      </c>
      <c r="BN358" t="s">
        <v>548</v>
      </c>
      <c r="BO358" t="s">
        <v>345</v>
      </c>
      <c r="BP358" t="s">
        <v>349</v>
      </c>
      <c r="BQ358" t="s">
        <v>549</v>
      </c>
      <c r="BR358" s="3">
        <v>7.9999999999999998E-28</v>
      </c>
      <c r="BS358" t="s">
        <v>608</v>
      </c>
      <c r="BT358" t="s">
        <v>323</v>
      </c>
      <c r="BU358" t="s">
        <v>334</v>
      </c>
      <c r="BV358" t="s">
        <v>609</v>
      </c>
      <c r="BW358" s="3">
        <v>7.9999999999999998E-28</v>
      </c>
      <c r="BX358" t="s">
        <v>967</v>
      </c>
      <c r="BY358" t="s">
        <v>345</v>
      </c>
      <c r="BZ358" t="s">
        <v>349</v>
      </c>
      <c r="CA358" t="s">
        <v>968</v>
      </c>
      <c r="CB358" s="3">
        <v>7.9999999999999998E-28</v>
      </c>
      <c r="CC358" t="s">
        <v>8</v>
      </c>
      <c r="CD358"/>
      <c r="CE358"/>
      <c r="CF358" t="s">
        <v>8</v>
      </c>
      <c r="CG358"/>
      <c r="CH358"/>
      <c r="CI358" t="s">
        <v>8</v>
      </c>
      <c r="CJ358"/>
      <c r="CK358" t="s">
        <v>8</v>
      </c>
      <c r="CL358"/>
      <c r="CM358" t="s">
        <v>8</v>
      </c>
      <c r="CN358"/>
      <c r="CO358" t="str">
        <f>HYPERLINK(".\links\MIT-PLA\TI-576-MIT-PLA.txt","Triatoma infestans clone TI-81 truncated ATPase subunit 6 mRNA, partial cds;")</f>
        <v>Triatoma infestans clone TI-81 truncated ATPase subunit 6 mRNA, partial cds;</v>
      </c>
      <c r="CP358" t="str">
        <f>HYPERLINK("http://www.ncbi.nlm.nih.gov/entrez/viewer.fcgi?db=nucleotide&amp;val=149898886","1E-151")</f>
        <v>1E-151</v>
      </c>
      <c r="CQ358" t="str">
        <f>HYPERLINK("http://www.ncbi.nlm.nih.gov/entrez/viewer.fcgi?db=nucleotide&amp;val=149898886","gi|149898886")</f>
        <v>gi|149898886</v>
      </c>
      <c r="CR358">
        <v>529</v>
      </c>
      <c r="CS358">
        <v>314</v>
      </c>
      <c r="CT358">
        <v>666</v>
      </c>
      <c r="CU358">
        <v>96</v>
      </c>
      <c r="CV358">
        <v>47</v>
      </c>
      <c r="CW358">
        <v>12</v>
      </c>
      <c r="CX358">
        <v>0</v>
      </c>
      <c r="CY358">
        <v>352</v>
      </c>
      <c r="CZ358">
        <v>1</v>
      </c>
      <c r="DA358">
        <v>1</v>
      </c>
      <c r="DB358" t="s">
        <v>51</v>
      </c>
      <c r="DC358" t="s">
        <v>8</v>
      </c>
      <c r="DD358"/>
      <c r="DE358"/>
      <c r="DF358"/>
      <c r="DG358"/>
      <c r="DH358"/>
      <c r="DI358"/>
      <c r="DJ358"/>
      <c r="DK358"/>
      <c r="DL358"/>
      <c r="DM358"/>
      <c r="DN358"/>
      <c r="DO358"/>
      <c r="DP358"/>
    </row>
    <row r="359" spans="1:120" s="5" customFormat="1">
      <c r="A359" s="6" t="str">
        <f>HYPERLINK(".\links\pep\TI-577-pep.txt","TI-577")</f>
        <v>TI-577</v>
      </c>
      <c r="B359" s="6">
        <v>577</v>
      </c>
      <c r="C359" s="6" t="s">
        <v>19</v>
      </c>
      <c r="D359" s="6">
        <v>33</v>
      </c>
      <c r="E359" s="6">
        <v>0</v>
      </c>
      <c r="F359" s="6" t="str">
        <f>HYPERLINK(".\links\cds\TI-577-cds.txt","TI-577")</f>
        <v>TI-577</v>
      </c>
      <c r="G359" s="6">
        <v>102</v>
      </c>
      <c r="H359" s="6"/>
      <c r="I359" s="6" t="s">
        <v>8</v>
      </c>
      <c r="J359" s="6" t="s">
        <v>6</v>
      </c>
      <c r="K359" s="6">
        <v>0</v>
      </c>
      <c r="L359" s="6">
        <v>1</v>
      </c>
      <c r="M359" s="6">
        <f t="shared" si="18"/>
        <v>-1</v>
      </c>
      <c r="N359" s="6">
        <f t="shared" si="19"/>
        <v>1</v>
      </c>
      <c r="O359" s="6" t="s">
        <v>1170</v>
      </c>
      <c r="P359" s="6" t="s">
        <v>1171</v>
      </c>
      <c r="Q359" s="6"/>
      <c r="R359" s="6"/>
      <c r="S359" s="6"/>
      <c r="T359" s="6" t="s">
        <v>8</v>
      </c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 t="s">
        <v>8</v>
      </c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 t="s">
        <v>8</v>
      </c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 t="s">
        <v>8</v>
      </c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 t="s">
        <v>8</v>
      </c>
      <c r="CD359" s="6"/>
      <c r="CE359" s="6"/>
      <c r="CF359" s="6" t="s">
        <v>8</v>
      </c>
      <c r="CG359" s="6"/>
      <c r="CH359" s="6"/>
      <c r="CI359" s="6" t="s">
        <v>8</v>
      </c>
      <c r="CJ359" s="6"/>
      <c r="CK359" s="6" t="s">
        <v>8</v>
      </c>
      <c r="CL359" s="6"/>
      <c r="CM359" s="6" t="s">
        <v>8</v>
      </c>
      <c r="CN359" s="6"/>
      <c r="CO359" s="6" t="s">
        <v>8</v>
      </c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 t="s">
        <v>8</v>
      </c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</row>
    <row r="360" spans="1:120" s="5" customFormat="1">
      <c r="A360" s="6" t="str">
        <f>HYPERLINK(".\links\pep\TI-579-pep.txt","TI-579")</f>
        <v>TI-579</v>
      </c>
      <c r="B360" s="6">
        <v>579</v>
      </c>
      <c r="C360" s="6" t="s">
        <v>12</v>
      </c>
      <c r="D360" s="6">
        <v>53</v>
      </c>
      <c r="E360" s="6">
        <v>0</v>
      </c>
      <c r="F360" s="6" t="str">
        <f>HYPERLINK(".\links\cds\TI-579-cds.txt","TI-579")</f>
        <v>TI-579</v>
      </c>
      <c r="G360" s="6">
        <v>162</v>
      </c>
      <c r="H360" s="6"/>
      <c r="I360" s="6" t="s">
        <v>8</v>
      </c>
      <c r="J360" s="6" t="s">
        <v>6</v>
      </c>
      <c r="K360" s="6">
        <v>0</v>
      </c>
      <c r="L360" s="6">
        <v>1</v>
      </c>
      <c r="M360" s="6">
        <f t="shared" si="18"/>
        <v>-1</v>
      </c>
      <c r="N360" s="6">
        <f t="shared" si="19"/>
        <v>1</v>
      </c>
      <c r="O360" s="6" t="s">
        <v>1170</v>
      </c>
      <c r="P360" s="6" t="s">
        <v>1171</v>
      </c>
      <c r="Q360" s="6"/>
      <c r="R360" s="6"/>
      <c r="S360" s="6"/>
      <c r="T360" s="6" t="s">
        <v>8</v>
      </c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 t="s">
        <v>8</v>
      </c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 t="s">
        <v>8</v>
      </c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 t="s">
        <v>8</v>
      </c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 t="s">
        <v>8</v>
      </c>
      <c r="CD360" s="6"/>
      <c r="CE360" s="6"/>
      <c r="CF360" s="6" t="s">
        <v>8</v>
      </c>
      <c r="CG360" s="6"/>
      <c r="CH360" s="6"/>
      <c r="CI360" s="6" t="s">
        <v>8</v>
      </c>
      <c r="CJ360" s="6"/>
      <c r="CK360" s="6" t="s">
        <v>8</v>
      </c>
      <c r="CL360" s="6"/>
      <c r="CM360" s="6" t="s">
        <v>8</v>
      </c>
      <c r="CN360" s="6"/>
      <c r="CO360" s="6" t="s">
        <v>8</v>
      </c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 t="s">
        <v>8</v>
      </c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</row>
    <row r="361" spans="1:120" s="5" customFormat="1">
      <c r="A361" s="6" t="str">
        <f>HYPERLINK(".\links\pep\TI-580-pep.txt","TI-580")</f>
        <v>TI-580</v>
      </c>
      <c r="B361" s="6">
        <v>580</v>
      </c>
      <c r="C361" s="6" t="s">
        <v>10</v>
      </c>
      <c r="D361" s="6">
        <v>25</v>
      </c>
      <c r="E361" s="6">
        <v>0</v>
      </c>
      <c r="F361" s="6" t="str">
        <f>HYPERLINK(".\links\cds\TI-580-cds.txt","TI-580")</f>
        <v>TI-580</v>
      </c>
      <c r="G361" s="6">
        <v>78</v>
      </c>
      <c r="H361" s="6"/>
      <c r="I361" s="6" t="s">
        <v>8</v>
      </c>
      <c r="J361" s="6" t="s">
        <v>6</v>
      </c>
      <c r="K361" s="6">
        <v>0</v>
      </c>
      <c r="L361" s="6">
        <v>5</v>
      </c>
      <c r="M361" s="6">
        <f t="shared" si="18"/>
        <v>-5</v>
      </c>
      <c r="N361" s="6">
        <f t="shared" si="19"/>
        <v>5</v>
      </c>
      <c r="O361" s="6" t="s">
        <v>1170</v>
      </c>
      <c r="P361" s="6" t="s">
        <v>1171</v>
      </c>
      <c r="Q361" s="6"/>
      <c r="R361" s="6"/>
      <c r="S361" s="6"/>
      <c r="T361" s="6" t="s">
        <v>8</v>
      </c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 t="s">
        <v>8</v>
      </c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 t="s">
        <v>8</v>
      </c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 t="s">
        <v>8</v>
      </c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 t="s">
        <v>8</v>
      </c>
      <c r="CD361" s="6"/>
      <c r="CE361" s="6"/>
      <c r="CF361" s="6" t="s">
        <v>8</v>
      </c>
      <c r="CG361" s="6"/>
      <c r="CH361" s="6"/>
      <c r="CI361" s="6" t="s">
        <v>8</v>
      </c>
      <c r="CJ361" s="6"/>
      <c r="CK361" s="6" t="s">
        <v>8</v>
      </c>
      <c r="CL361" s="6"/>
      <c r="CM361" s="6" t="s">
        <v>8</v>
      </c>
      <c r="CN361" s="6"/>
      <c r="CO361" s="6" t="s">
        <v>8</v>
      </c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 t="s">
        <v>8</v>
      </c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</row>
    <row r="362" spans="1:120" s="5" customFormat="1">
      <c r="A362" t="str">
        <f>HYPERLINK(".\links\pep\TI-581-pep.txt","TI-581")</f>
        <v>TI-581</v>
      </c>
      <c r="B362">
        <v>581</v>
      </c>
      <c r="C362" t="s">
        <v>7</v>
      </c>
      <c r="D362">
        <v>87</v>
      </c>
      <c r="E362">
        <v>0</v>
      </c>
      <c r="F362" t="str">
        <f>HYPERLINK(".\links\cds\TI-581-cds.txt","TI-581")</f>
        <v>TI-581</v>
      </c>
      <c r="G362">
        <v>264</v>
      </c>
      <c r="H362"/>
      <c r="I362" t="s">
        <v>29</v>
      </c>
      <c r="J362" t="s">
        <v>6</v>
      </c>
      <c r="K362">
        <v>1</v>
      </c>
      <c r="L362">
        <v>0</v>
      </c>
      <c r="M362">
        <f t="shared" si="18"/>
        <v>1</v>
      </c>
      <c r="N362">
        <f t="shared" si="19"/>
        <v>1</v>
      </c>
      <c r="O362" t="s">
        <v>1358</v>
      </c>
      <c r="P362" t="s">
        <v>1208</v>
      </c>
      <c r="Q362" t="str">
        <f>HYPERLINK(".\links\NR-LIGHT\TI-581-NR-LIGHT.txt","NR-LIGHT")</f>
        <v>NR-LIGHT</v>
      </c>
      <c r="R362">
        <v>4.9999999999999997E-12</v>
      </c>
      <c r="S362">
        <v>82</v>
      </c>
      <c r="T362" t="str">
        <f>HYPERLINK(".\links\NR-LIGHT\TI-581-NR-LIGHT.txt","defensin B")</f>
        <v>defensin B</v>
      </c>
      <c r="U362" t="str">
        <f>HYPERLINK("http://www.ncbi.nlm.nih.gov/sutils/blink.cgi?pid=29335960","1E-012")</f>
        <v>1E-012</v>
      </c>
      <c r="V362" t="str">
        <f>HYPERLINK("http://www.ncbi.nlm.nih.gov/protein/29335960","gi|29335960")</f>
        <v>gi|29335960</v>
      </c>
      <c r="W362">
        <v>74.3</v>
      </c>
      <c r="X362">
        <v>75</v>
      </c>
      <c r="Y362">
        <v>94</v>
      </c>
      <c r="Z362">
        <v>48</v>
      </c>
      <c r="AA362">
        <v>81</v>
      </c>
      <c r="AB362">
        <v>39</v>
      </c>
      <c r="AC362">
        <v>8</v>
      </c>
      <c r="AD362">
        <v>18</v>
      </c>
      <c r="AE362">
        <v>19</v>
      </c>
      <c r="AF362">
        <v>1</v>
      </c>
      <c r="AG362"/>
      <c r="AH362" t="s">
        <v>13</v>
      </c>
      <c r="AI362" t="s">
        <v>51</v>
      </c>
      <c r="AJ362" t="s">
        <v>302</v>
      </c>
      <c r="AK362" t="s">
        <v>8</v>
      </c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 t="str">
        <f>HYPERLINK(".\links\PREV-RHOD-PEP\TI-581-PREV-RHOD-PEP.txt","Contig17966_82")</f>
        <v>Contig17966_82</v>
      </c>
      <c r="AZ362" s="3">
        <v>1E-14</v>
      </c>
      <c r="BA362" t="s">
        <v>1162</v>
      </c>
      <c r="BB362">
        <v>75.099999999999994</v>
      </c>
      <c r="BC362">
        <v>76</v>
      </c>
      <c r="BD362">
        <v>94</v>
      </c>
      <c r="BE362">
        <v>45</v>
      </c>
      <c r="BF362">
        <v>82</v>
      </c>
      <c r="BG362">
        <v>42</v>
      </c>
      <c r="BH362">
        <v>8</v>
      </c>
      <c r="BI362">
        <v>18</v>
      </c>
      <c r="BJ362">
        <v>19</v>
      </c>
      <c r="BK362">
        <v>1</v>
      </c>
      <c r="BL362" t="s">
        <v>8</v>
      </c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 t="s">
        <v>8</v>
      </c>
      <c r="CD362"/>
      <c r="CE362"/>
      <c r="CF362" t="s">
        <v>8</v>
      </c>
      <c r="CG362"/>
      <c r="CH362"/>
      <c r="CI362" t="s">
        <v>8</v>
      </c>
      <c r="CJ362"/>
      <c r="CK362" t="s">
        <v>8</v>
      </c>
      <c r="CL362"/>
      <c r="CM362" t="s">
        <v>8</v>
      </c>
      <c r="CN362"/>
      <c r="CO362" t="s">
        <v>8</v>
      </c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 t="s">
        <v>8</v>
      </c>
      <c r="DD362"/>
      <c r="DE362"/>
      <c r="DF362"/>
      <c r="DG362"/>
      <c r="DH362"/>
      <c r="DI362"/>
      <c r="DJ362"/>
      <c r="DK362"/>
      <c r="DL362"/>
      <c r="DM362"/>
      <c r="DN362"/>
      <c r="DO362"/>
      <c r="DP362"/>
    </row>
    <row r="363" spans="1:120" s="5" customFormat="1">
      <c r="A363" t="str">
        <f>HYPERLINK(".\links\pep\TI-582-pep.txt","TI-582")</f>
        <v>TI-582</v>
      </c>
      <c r="B363">
        <v>582</v>
      </c>
      <c r="C363" t="s">
        <v>7</v>
      </c>
      <c r="D363">
        <v>86</v>
      </c>
      <c r="E363">
        <v>0</v>
      </c>
      <c r="F363" t="str">
        <f>HYPERLINK(".\links\cds\TI-582-cds.txt","TI-582")</f>
        <v>TI-582</v>
      </c>
      <c r="G363">
        <v>261</v>
      </c>
      <c r="H363"/>
      <c r="I363" t="s">
        <v>29</v>
      </c>
      <c r="J363" t="s">
        <v>6</v>
      </c>
      <c r="K363">
        <v>1</v>
      </c>
      <c r="L363">
        <v>0</v>
      </c>
      <c r="M363">
        <f t="shared" si="18"/>
        <v>1</v>
      </c>
      <c r="N363">
        <f t="shared" si="19"/>
        <v>1</v>
      </c>
      <c r="O363" t="s">
        <v>1359</v>
      </c>
      <c r="P363" t="s">
        <v>1208</v>
      </c>
      <c r="Q363" t="str">
        <f>HYPERLINK(".\links\NR-LIGHT\TI-582-NR-LIGHT.txt","NR-LIGHT")</f>
        <v>NR-LIGHT</v>
      </c>
      <c r="R363">
        <v>7.0000000000000005E-13</v>
      </c>
      <c r="S363">
        <v>79.7</v>
      </c>
      <c r="T363" t="str">
        <f>HYPERLINK(".\links\NR-LIGHT\TI-582-NR-LIGHT.txt","defensin A")</f>
        <v>defensin A</v>
      </c>
      <c r="U363" t="str">
        <f>HYPERLINK("http://www.ncbi.nlm.nih.gov/sutils/blink.cgi?pid=149689102","3E-013")</f>
        <v>3E-013</v>
      </c>
      <c r="V363" t="str">
        <f>HYPERLINK("http://www.ncbi.nlm.nih.gov/protein/149689102","gi|149689102")</f>
        <v>gi|149689102</v>
      </c>
      <c r="W363">
        <v>76.3</v>
      </c>
      <c r="X363">
        <v>73</v>
      </c>
      <c r="Y363">
        <v>93</v>
      </c>
      <c r="Z363">
        <v>52</v>
      </c>
      <c r="AA363">
        <v>80</v>
      </c>
      <c r="AB363">
        <v>35</v>
      </c>
      <c r="AC363">
        <v>8</v>
      </c>
      <c r="AD363">
        <v>18</v>
      </c>
      <c r="AE363">
        <v>19</v>
      </c>
      <c r="AF363">
        <v>1</v>
      </c>
      <c r="AG363"/>
      <c r="AH363" t="s">
        <v>13</v>
      </c>
      <c r="AI363" t="s">
        <v>51</v>
      </c>
      <c r="AJ363" t="s">
        <v>273</v>
      </c>
      <c r="AK363" t="s">
        <v>8</v>
      </c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 t="str">
        <f>HYPERLINK(".\links\PREV-RHOD-PEP\TI-582-PREV-RHOD-PEP.txt","Contig17966_82")</f>
        <v>Contig17966_82</v>
      </c>
      <c r="AZ363" s="3">
        <v>5.9999999999999997E-14</v>
      </c>
      <c r="BA363" t="s">
        <v>1162</v>
      </c>
      <c r="BB363">
        <v>72.400000000000006</v>
      </c>
      <c r="BC363">
        <v>76</v>
      </c>
      <c r="BD363">
        <v>94</v>
      </c>
      <c r="BE363">
        <v>50</v>
      </c>
      <c r="BF363">
        <v>82</v>
      </c>
      <c r="BG363">
        <v>38</v>
      </c>
      <c r="BH363">
        <v>9</v>
      </c>
      <c r="BI363">
        <v>18</v>
      </c>
      <c r="BJ363">
        <v>19</v>
      </c>
      <c r="BK363">
        <v>1</v>
      </c>
      <c r="BL363" t="s">
        <v>8</v>
      </c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 t="s">
        <v>8</v>
      </c>
      <c r="CD363"/>
      <c r="CE363"/>
      <c r="CF363" t="s">
        <v>8</v>
      </c>
      <c r="CG363"/>
      <c r="CH363"/>
      <c r="CI363" t="s">
        <v>8</v>
      </c>
      <c r="CJ363"/>
      <c r="CK363" t="s">
        <v>8</v>
      </c>
      <c r="CL363"/>
      <c r="CM363" t="s">
        <v>8</v>
      </c>
      <c r="CN363"/>
      <c r="CO363" t="s">
        <v>8</v>
      </c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 t="s">
        <v>8</v>
      </c>
      <c r="DD363"/>
      <c r="DE363"/>
      <c r="DF363"/>
      <c r="DG363"/>
      <c r="DH363"/>
      <c r="DI363"/>
      <c r="DJ363"/>
      <c r="DK363"/>
      <c r="DL363"/>
      <c r="DM363"/>
      <c r="DN363"/>
      <c r="DO363"/>
      <c r="DP363"/>
    </row>
    <row r="364" spans="1:120" s="5" customFormat="1">
      <c r="A364" t="str">
        <f>HYPERLINK(".\links\pep\TI-583-pep.txt","TI-583")</f>
        <v>TI-583</v>
      </c>
      <c r="B364">
        <v>583</v>
      </c>
      <c r="C364" t="s">
        <v>11</v>
      </c>
      <c r="D364">
        <v>44</v>
      </c>
      <c r="E364">
        <v>0</v>
      </c>
      <c r="F364" t="str">
        <f>HYPERLINK(".\links\cds\TI-583-cds.txt","TI-583")</f>
        <v>TI-583</v>
      </c>
      <c r="G364">
        <v>135</v>
      </c>
      <c r="H364"/>
      <c r="I364" t="s">
        <v>8</v>
      </c>
      <c r="J364" t="s">
        <v>6</v>
      </c>
      <c r="K364">
        <v>2</v>
      </c>
      <c r="L364">
        <v>0</v>
      </c>
      <c r="M364">
        <f t="shared" si="18"/>
        <v>2</v>
      </c>
      <c r="N364">
        <f t="shared" si="19"/>
        <v>2</v>
      </c>
      <c r="O364" t="s">
        <v>1360</v>
      </c>
      <c r="P364" t="s">
        <v>1189</v>
      </c>
      <c r="Q364" t="str">
        <f>HYPERLINK(".\links\GO\TI-583-GO.txt","GO")</f>
        <v>GO</v>
      </c>
      <c r="R364">
        <v>3.9999999999999998E-11</v>
      </c>
      <c r="S364">
        <v>10.5</v>
      </c>
      <c r="T364" t="str">
        <f>HYPERLINK(".\links\NR-LIGHT\TI-583-NR-LIGHT.txt","eukaryotic initiation factor 4A-II, putative")</f>
        <v>eukaryotic initiation factor 4A-II, putative</v>
      </c>
      <c r="U364" t="str">
        <f>HYPERLINK("http://www.ncbi.nlm.nih.gov/sutils/blink.cgi?pid=242007840","5E-012")</f>
        <v>5E-012</v>
      </c>
      <c r="V364" t="str">
        <f>HYPERLINK("http://www.ncbi.nlm.nih.gov/protein/242007840","gi|242007840")</f>
        <v>gi|242007840</v>
      </c>
      <c r="W364">
        <v>72</v>
      </c>
      <c r="X364">
        <v>41</v>
      </c>
      <c r="Y364">
        <v>449</v>
      </c>
      <c r="Z364">
        <v>78</v>
      </c>
      <c r="AA364">
        <v>9</v>
      </c>
      <c r="AB364">
        <v>9</v>
      </c>
      <c r="AC364">
        <v>0</v>
      </c>
      <c r="AD364">
        <v>408</v>
      </c>
      <c r="AE364">
        <v>2</v>
      </c>
      <c r="AF364">
        <v>1</v>
      </c>
      <c r="AG364"/>
      <c r="AH364" t="s">
        <v>13</v>
      </c>
      <c r="AI364" t="s">
        <v>51</v>
      </c>
      <c r="AJ364" t="s">
        <v>268</v>
      </c>
      <c r="AK364" t="str">
        <f>HYPERLINK(".\links\SWISSP\TI-583-SWISSP.txt","ATP-dependent RNA helicase fal1 OS=Schizosaccharomyces pombe (strain ATCC 38366")</f>
        <v>ATP-dependent RNA helicase fal1 OS=Schizosaccharomyces pombe (strain ATCC 38366</v>
      </c>
      <c r="AL364" t="str">
        <f>HYPERLINK("http://www.uniprot.org/uniprot/Q10055","5E-012")</f>
        <v>5E-012</v>
      </c>
      <c r="AM364" t="s">
        <v>260</v>
      </c>
      <c r="AN364">
        <v>69.7</v>
      </c>
      <c r="AO364">
        <v>41</v>
      </c>
      <c r="AP364">
        <v>394</v>
      </c>
      <c r="AQ364">
        <v>69</v>
      </c>
      <c r="AR364">
        <v>11</v>
      </c>
      <c r="AS364">
        <v>13</v>
      </c>
      <c r="AT364">
        <v>0</v>
      </c>
      <c r="AU364">
        <v>353</v>
      </c>
      <c r="AV364">
        <v>2</v>
      </c>
      <c r="AW364">
        <v>1</v>
      </c>
      <c r="AX364" t="s">
        <v>159</v>
      </c>
      <c r="AY364" t="str">
        <f>HYPERLINK(".\links\PREV-RHOD-PEP\TI-583-PREV-RHOD-PEP.txt","Contig17157_4")</f>
        <v>Contig17157_4</v>
      </c>
      <c r="AZ364" s="3">
        <v>4.9999999999999999E-20</v>
      </c>
      <c r="BA364" t="s">
        <v>1163</v>
      </c>
      <c r="BB364">
        <v>92.4</v>
      </c>
      <c r="BC364">
        <v>42</v>
      </c>
      <c r="BD364">
        <v>422</v>
      </c>
      <c r="BE364">
        <v>100</v>
      </c>
      <c r="BF364">
        <v>10</v>
      </c>
      <c r="BG364">
        <v>0</v>
      </c>
      <c r="BH364">
        <v>0</v>
      </c>
      <c r="BI364">
        <v>380</v>
      </c>
      <c r="BJ364">
        <v>2</v>
      </c>
      <c r="BK364">
        <v>1</v>
      </c>
      <c r="BL364" t="s">
        <v>969</v>
      </c>
      <c r="BM364">
        <f>HYPERLINK(".\links\GO\TI-583-GO.txt",0.000000000001)</f>
        <v>9.9999999999999998E-13</v>
      </c>
      <c r="BN364" t="s">
        <v>575</v>
      </c>
      <c r="BO364" t="s">
        <v>340</v>
      </c>
      <c r="BP364" t="s">
        <v>576</v>
      </c>
      <c r="BQ364" t="s">
        <v>577</v>
      </c>
      <c r="BR364">
        <v>9.9999999999999998E-13</v>
      </c>
      <c r="BS364" t="s">
        <v>513</v>
      </c>
      <c r="BT364" t="s">
        <v>477</v>
      </c>
      <c r="BU364" t="s">
        <v>477</v>
      </c>
      <c r="BV364" t="s">
        <v>514</v>
      </c>
      <c r="BW364">
        <v>9.9999999999999998E-13</v>
      </c>
      <c r="BX364" t="s">
        <v>515</v>
      </c>
      <c r="BY364" t="s">
        <v>340</v>
      </c>
      <c r="BZ364" t="s">
        <v>576</v>
      </c>
      <c r="CA364" t="s">
        <v>516</v>
      </c>
      <c r="CB364">
        <v>9.9999999999999998E-13</v>
      </c>
      <c r="CC364" t="s">
        <v>8</v>
      </c>
      <c r="CD364"/>
      <c r="CE364"/>
      <c r="CF364" t="s">
        <v>8</v>
      </c>
      <c r="CG364"/>
      <c r="CH364"/>
      <c r="CI364" t="s">
        <v>8</v>
      </c>
      <c r="CJ364"/>
      <c r="CK364" t="s">
        <v>8</v>
      </c>
      <c r="CL364"/>
      <c r="CM364" t="s">
        <v>8</v>
      </c>
      <c r="CN364"/>
      <c r="CO364" t="s">
        <v>8</v>
      </c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 t="s">
        <v>8</v>
      </c>
      <c r="DD364"/>
      <c r="DE364"/>
      <c r="DF364"/>
      <c r="DG364"/>
      <c r="DH364"/>
      <c r="DI364"/>
      <c r="DJ364"/>
      <c r="DK364"/>
      <c r="DL364"/>
      <c r="DM364"/>
      <c r="DN364"/>
      <c r="DO364"/>
      <c r="DP364"/>
    </row>
    <row r="365" spans="1:120" s="5" customFormat="1">
      <c r="A365" s="6" t="str">
        <f>HYPERLINK(".\links\pep\TI-584-pep.txt","TI-584")</f>
        <v>TI-584</v>
      </c>
      <c r="B365" s="6">
        <v>584</v>
      </c>
      <c r="C365" s="6" t="s">
        <v>7</v>
      </c>
      <c r="D365" s="6">
        <v>28</v>
      </c>
      <c r="E365" s="7">
        <v>89.285709999999995</v>
      </c>
      <c r="F365" s="6" t="str">
        <f>HYPERLINK(".\links\cds\TI-584-cds.txt","TI-584")</f>
        <v>TI-584</v>
      </c>
      <c r="G365" s="6">
        <v>83</v>
      </c>
      <c r="H365" s="6" t="s">
        <v>24</v>
      </c>
      <c r="I365" s="6" t="s">
        <v>29</v>
      </c>
      <c r="J365" s="6" t="s">
        <v>8</v>
      </c>
      <c r="K365" s="6">
        <v>1</v>
      </c>
      <c r="L365" s="6">
        <v>0</v>
      </c>
      <c r="M365" s="6">
        <f t="shared" si="18"/>
        <v>1</v>
      </c>
      <c r="N365" s="6">
        <f t="shared" si="19"/>
        <v>1</v>
      </c>
      <c r="O365" s="6" t="s">
        <v>1170</v>
      </c>
      <c r="P365" s="6" t="s">
        <v>1171</v>
      </c>
      <c r="Q365" s="6"/>
      <c r="R365" s="6"/>
      <c r="S365" s="6"/>
      <c r="T365" s="6" t="s">
        <v>8</v>
      </c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 t="s">
        <v>8</v>
      </c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 t="s">
        <v>8</v>
      </c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 t="s">
        <v>8</v>
      </c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 t="s">
        <v>8</v>
      </c>
      <c r="CD365" s="6"/>
      <c r="CE365" s="6"/>
      <c r="CF365" s="6" t="s">
        <v>8</v>
      </c>
      <c r="CG365" s="6"/>
      <c r="CH365" s="6"/>
      <c r="CI365" s="6" t="s">
        <v>8</v>
      </c>
      <c r="CJ365" s="6"/>
      <c r="CK365" s="6" t="s">
        <v>8</v>
      </c>
      <c r="CL365" s="6"/>
      <c r="CM365" s="6" t="s">
        <v>8</v>
      </c>
      <c r="CN365" s="6"/>
      <c r="CO365" s="6" t="s">
        <v>8</v>
      </c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 t="s">
        <v>8</v>
      </c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</row>
    <row r="366" spans="1:120" s="5" customFormat="1">
      <c r="A366" s="6" t="str">
        <f>HYPERLINK(".\links\pep\TI-585-pep.txt","TI-585")</f>
        <v>TI-585</v>
      </c>
      <c r="B366" s="6">
        <v>585</v>
      </c>
      <c r="C366" s="6" t="s">
        <v>16</v>
      </c>
      <c r="D366" s="6">
        <v>150</v>
      </c>
      <c r="E366" s="6">
        <v>0</v>
      </c>
      <c r="F366" s="6" t="str">
        <f>HYPERLINK(".\links\cds\TI-585-cds.txt","TI-585")</f>
        <v>TI-585</v>
      </c>
      <c r="G366" s="6">
        <v>453</v>
      </c>
      <c r="H366" s="6"/>
      <c r="I366" s="6" t="s">
        <v>8</v>
      </c>
      <c r="J366" s="6" t="s">
        <v>6</v>
      </c>
      <c r="K366" s="6">
        <v>1</v>
      </c>
      <c r="L366" s="6">
        <v>0</v>
      </c>
      <c r="M366" s="6">
        <f t="shared" si="18"/>
        <v>1</v>
      </c>
      <c r="N366" s="6">
        <f t="shared" si="19"/>
        <v>1</v>
      </c>
      <c r="O366" s="6" t="s">
        <v>1170</v>
      </c>
      <c r="P366" s="6" t="s">
        <v>1171</v>
      </c>
      <c r="Q366" s="6"/>
      <c r="R366" s="6"/>
      <c r="S366" s="6"/>
      <c r="T366" s="6" t="s">
        <v>8</v>
      </c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 t="s">
        <v>8</v>
      </c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 t="s">
        <v>8</v>
      </c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 t="s">
        <v>8</v>
      </c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 t="s">
        <v>8</v>
      </c>
      <c r="CD366" s="6"/>
      <c r="CE366" s="6"/>
      <c r="CF366" s="6" t="s">
        <v>8</v>
      </c>
      <c r="CG366" s="6"/>
      <c r="CH366" s="6"/>
      <c r="CI366" s="6" t="s">
        <v>8</v>
      </c>
      <c r="CJ366" s="6"/>
      <c r="CK366" s="6" t="s">
        <v>8</v>
      </c>
      <c r="CL366" s="6"/>
      <c r="CM366" s="6" t="s">
        <v>8</v>
      </c>
      <c r="CN366" s="6"/>
      <c r="CO366" s="6" t="s">
        <v>8</v>
      </c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 t="s">
        <v>8</v>
      </c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</row>
    <row r="367" spans="1:120" s="5" customFormat="1">
      <c r="A367" t="str">
        <f>HYPERLINK(".\links\pep\TI-586-pep.txt","TI-586")</f>
        <v>TI-586</v>
      </c>
      <c r="B367">
        <v>586</v>
      </c>
      <c r="C367" t="s">
        <v>23</v>
      </c>
      <c r="D367">
        <v>58</v>
      </c>
      <c r="E367" s="2">
        <v>1.7241379999999999</v>
      </c>
      <c r="F367" t="str">
        <f>HYPERLINK(".\links\cds\TI-586-cds.txt","TI-586")</f>
        <v>TI-586</v>
      </c>
      <c r="G367">
        <v>177</v>
      </c>
      <c r="H367"/>
      <c r="I367" t="s">
        <v>8</v>
      </c>
      <c r="J367" t="s">
        <v>6</v>
      </c>
      <c r="K367">
        <v>1</v>
      </c>
      <c r="L367">
        <v>0</v>
      </c>
      <c r="M367">
        <f t="shared" si="18"/>
        <v>1</v>
      </c>
      <c r="N367">
        <f t="shared" si="19"/>
        <v>1</v>
      </c>
      <c r="O367" t="s">
        <v>1243</v>
      </c>
      <c r="P367" t="s">
        <v>1168</v>
      </c>
      <c r="Q367" t="str">
        <f>HYPERLINK(".\links\NR-LIGHT\TI-586-NR-LIGHT.txt","NR-LIGHT")</f>
        <v>NR-LIGHT</v>
      </c>
      <c r="R367">
        <v>5.0000000000000003E-10</v>
      </c>
      <c r="S367">
        <v>39.5</v>
      </c>
      <c r="T367" t="str">
        <f>HYPERLINK(".\links\NR-LIGHT\TI-586-NR-LIGHT.txt","putative secreted salivary peptide precursor")</f>
        <v>putative secreted salivary peptide precursor</v>
      </c>
      <c r="U367" t="str">
        <f>HYPERLINK("http://www.ncbi.nlm.nih.gov/sutils/blink.cgi?pid=149689160","5E-010")</f>
        <v>5E-010</v>
      </c>
      <c r="V367" t="str">
        <f>HYPERLINK("http://www.ncbi.nlm.nih.gov/protein/149689160","gi|149689160")</f>
        <v>gi|149689160</v>
      </c>
      <c r="W367">
        <v>65.5</v>
      </c>
      <c r="X367">
        <v>33</v>
      </c>
      <c r="Y367">
        <v>86</v>
      </c>
      <c r="Z367">
        <v>100</v>
      </c>
      <c r="AA367">
        <v>40</v>
      </c>
      <c r="AB367">
        <v>0</v>
      </c>
      <c r="AC367">
        <v>0</v>
      </c>
      <c r="AD367">
        <v>53</v>
      </c>
      <c r="AE367">
        <v>25</v>
      </c>
      <c r="AF367">
        <v>1</v>
      </c>
      <c r="AG367"/>
      <c r="AH367" t="s">
        <v>13</v>
      </c>
      <c r="AI367" t="s">
        <v>51</v>
      </c>
      <c r="AJ367" t="s">
        <v>273</v>
      </c>
      <c r="AK367" t="s">
        <v>8</v>
      </c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 t="str">
        <f>HYPERLINK(".\links\PREV-RHOD-PEP\TI-586-PREV-RHOD-PEP.txt","Contig17891_118")</f>
        <v>Contig17891_118</v>
      </c>
      <c r="AZ367" s="3">
        <v>6E-9</v>
      </c>
      <c r="BA367" t="s">
        <v>1018</v>
      </c>
      <c r="BB367">
        <v>55.8</v>
      </c>
      <c r="BC367">
        <v>33</v>
      </c>
      <c r="BD367">
        <v>86</v>
      </c>
      <c r="BE367">
        <v>79</v>
      </c>
      <c r="BF367">
        <v>40</v>
      </c>
      <c r="BG367">
        <v>7</v>
      </c>
      <c r="BH367">
        <v>0</v>
      </c>
      <c r="BI367">
        <v>53</v>
      </c>
      <c r="BJ367">
        <v>25</v>
      </c>
      <c r="BK367">
        <v>1</v>
      </c>
      <c r="BL367" t="s">
        <v>8</v>
      </c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 t="s">
        <v>8</v>
      </c>
      <c r="CD367"/>
      <c r="CE367"/>
      <c r="CF367" t="s">
        <v>8</v>
      </c>
      <c r="CG367"/>
      <c r="CH367"/>
      <c r="CI367" t="s">
        <v>8</v>
      </c>
      <c r="CJ367"/>
      <c r="CK367" t="s">
        <v>8</v>
      </c>
      <c r="CL367"/>
      <c r="CM367" t="s">
        <v>8</v>
      </c>
      <c r="CN367"/>
      <c r="CO367" t="s">
        <v>8</v>
      </c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 t="s">
        <v>8</v>
      </c>
      <c r="DD367"/>
      <c r="DE367"/>
      <c r="DF367"/>
      <c r="DG367"/>
      <c r="DH367"/>
      <c r="DI367"/>
      <c r="DJ367"/>
      <c r="DK367"/>
      <c r="DL367"/>
      <c r="DM367"/>
      <c r="DN367"/>
      <c r="DO367"/>
      <c r="DP367"/>
    </row>
    <row r="368" spans="1:120" s="5" customFormat="1">
      <c r="A368" s="6" t="str">
        <f>HYPERLINK(".\links\pep\TI-587-pep.txt","TI-587")</f>
        <v>TI-587</v>
      </c>
      <c r="B368" s="6">
        <v>587</v>
      </c>
      <c r="C368" s="6" t="s">
        <v>27</v>
      </c>
      <c r="D368" s="6">
        <v>53</v>
      </c>
      <c r="E368" s="6">
        <v>0</v>
      </c>
      <c r="F368" s="6" t="str">
        <f>HYPERLINK(".\links\cds\TI-587-cds.txt","TI-587")</f>
        <v>TI-587</v>
      </c>
      <c r="G368" s="6">
        <v>162</v>
      </c>
      <c r="H368" s="6"/>
      <c r="I368" s="6" t="s">
        <v>8</v>
      </c>
      <c r="J368" s="6" t="s">
        <v>6</v>
      </c>
      <c r="K368" s="6">
        <v>2</v>
      </c>
      <c r="L368" s="6">
        <v>0</v>
      </c>
      <c r="M368" s="6">
        <f t="shared" ref="M368" si="20">ABS(K368-L368)</f>
        <v>2</v>
      </c>
      <c r="N368">
        <f t="shared" si="19"/>
        <v>2</v>
      </c>
      <c r="O368" s="6" t="s">
        <v>1170</v>
      </c>
      <c r="P368" s="6" t="s">
        <v>1171</v>
      </c>
      <c r="Q368" s="6"/>
      <c r="R368" s="6"/>
      <c r="S368" s="6"/>
      <c r="T368" s="6" t="str">
        <f>HYPERLINK(".\links\NR-LIGHT\TI-587-NR-LIGHT.txt","mannose-1-phosphate guanyltransferase alpha-B")</f>
        <v>mannose-1-phosphate guanyltransferase alpha-B</v>
      </c>
      <c r="U368" s="6" t="str">
        <f>HYPERLINK("http://www.ncbi.nlm.nih.gov/sutils/blink.cgi?pid=41053852","3.5")</f>
        <v>3.5</v>
      </c>
      <c r="V368" s="6" t="str">
        <f>HYPERLINK("http://www.ncbi.nlm.nih.gov/protein/41053852","gi|41053852")</f>
        <v>gi|41053852</v>
      </c>
      <c r="W368" s="6">
        <v>32.700000000000003</v>
      </c>
      <c r="X368" s="6">
        <v>61</v>
      </c>
      <c r="Y368" s="6">
        <v>422</v>
      </c>
      <c r="Z368" s="6">
        <v>33</v>
      </c>
      <c r="AA368" s="6">
        <v>15</v>
      </c>
      <c r="AB368" s="6">
        <v>41</v>
      </c>
      <c r="AC368" s="6">
        <v>16</v>
      </c>
      <c r="AD368" s="6">
        <v>196</v>
      </c>
      <c r="AE368" s="6">
        <v>3</v>
      </c>
      <c r="AF368" s="6">
        <v>1</v>
      </c>
      <c r="AG368" s="6"/>
      <c r="AH368" s="6" t="s">
        <v>13</v>
      </c>
      <c r="AI368" s="6" t="s">
        <v>51</v>
      </c>
      <c r="AJ368" s="6" t="s">
        <v>85</v>
      </c>
      <c r="AK368" s="6" t="s">
        <v>8</v>
      </c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 t="s">
        <v>8</v>
      </c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 t="s">
        <v>8</v>
      </c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 t="s">
        <v>8</v>
      </c>
      <c r="CD368" s="6"/>
      <c r="CE368" s="6"/>
      <c r="CF368" s="6" t="s">
        <v>8</v>
      </c>
      <c r="CG368" s="6"/>
      <c r="CH368" s="6" t="s">
        <v>8</v>
      </c>
    </row>
    <row r="369" spans="1:120">
      <c r="A369" s="6" t="str">
        <f>HYPERLINK(".\links\pep\TI-588-pep.txt","TI-588")</f>
        <v>TI-588</v>
      </c>
      <c r="B369" s="6">
        <v>588</v>
      </c>
      <c r="C369" s="6" t="s">
        <v>10</v>
      </c>
      <c r="D369" s="6">
        <v>30</v>
      </c>
      <c r="E369" s="6">
        <v>0</v>
      </c>
      <c r="F369" s="6" t="str">
        <f>HYPERLINK(".\links\cds\TI-588-cds.txt","TI-588")</f>
        <v>TI-588</v>
      </c>
      <c r="G369" s="6">
        <v>93</v>
      </c>
      <c r="H369" s="6"/>
      <c r="I369" s="6" t="s">
        <v>8</v>
      </c>
      <c r="J369" s="6" t="s">
        <v>6</v>
      </c>
      <c r="K369" s="6">
        <v>1</v>
      </c>
      <c r="L369" s="6">
        <v>0</v>
      </c>
      <c r="M369" s="6">
        <f t="shared" ref="M369:M371" si="21">K369-L369</f>
        <v>1</v>
      </c>
      <c r="N369" s="6">
        <f t="shared" ref="N369:N371" si="22">ABS(K369-L369)</f>
        <v>1</v>
      </c>
      <c r="O369" s="6" t="s">
        <v>1170</v>
      </c>
      <c r="P369" s="6" t="s">
        <v>1171</v>
      </c>
      <c r="Q369" s="6"/>
      <c r="R369" s="6"/>
      <c r="S369" s="6"/>
      <c r="T369" s="6" t="s">
        <v>8</v>
      </c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 t="s">
        <v>8</v>
      </c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 t="s">
        <v>8</v>
      </c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 t="s">
        <v>8</v>
      </c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 t="s">
        <v>8</v>
      </c>
      <c r="CD369" s="6"/>
      <c r="CE369" s="6"/>
      <c r="CF369" s="6" t="s">
        <v>8</v>
      </c>
      <c r="CG369" s="6"/>
      <c r="CH369" s="6"/>
      <c r="CI369" s="6" t="s">
        <v>8</v>
      </c>
      <c r="CJ369" s="6"/>
      <c r="CK369" s="6" t="s">
        <v>8</v>
      </c>
      <c r="CL369" s="6"/>
      <c r="CM369" s="6" t="s">
        <v>8</v>
      </c>
      <c r="CN369" s="6"/>
      <c r="CO369" s="6" t="s">
        <v>8</v>
      </c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 t="s">
        <v>8</v>
      </c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</row>
    <row r="370" spans="1:120">
      <c r="A370" t="str">
        <f>HYPERLINK(".\links\pep\TI-589-pep.txt","TI-589")</f>
        <v>TI-589</v>
      </c>
      <c r="B370">
        <v>589</v>
      </c>
      <c r="C370" t="s">
        <v>7</v>
      </c>
      <c r="D370">
        <v>120</v>
      </c>
      <c r="E370">
        <v>0</v>
      </c>
      <c r="F370" t="str">
        <f>HYPERLINK(".\links\cds\TI-589-cds.txt","TI-589")</f>
        <v>TI-589</v>
      </c>
      <c r="G370">
        <v>363</v>
      </c>
      <c r="I370" t="s">
        <v>29</v>
      </c>
      <c r="J370" t="s">
        <v>6</v>
      </c>
      <c r="K370">
        <v>0</v>
      </c>
      <c r="L370">
        <v>7</v>
      </c>
      <c r="M370">
        <f t="shared" si="21"/>
        <v>-7</v>
      </c>
      <c r="N370">
        <f t="shared" si="22"/>
        <v>7</v>
      </c>
      <c r="O370" t="s">
        <v>1361</v>
      </c>
      <c r="P370" t="s">
        <v>1178</v>
      </c>
      <c r="Q370" t="str">
        <f>HYPERLINK(".\links\NR-LIGHT\TI-589-NR-LIGHT.txt","NR-LIGHT")</f>
        <v>NR-LIGHT</v>
      </c>
      <c r="R370" s="3">
        <v>4.9999999999999996E-25</v>
      </c>
      <c r="S370">
        <v>94.3</v>
      </c>
      <c r="T370" t="str">
        <f>HYPERLINK(".\links\NR-LIGHT\TI-589-NR-LIGHT.txt","similar to conserved hypothetical protein")</f>
        <v>similar to conserved hypothetical protein</v>
      </c>
      <c r="U370" t="str">
        <f>HYPERLINK("http://www.ncbi.nlm.nih.gov/sutils/blink.cgi?pid=156538160","5E-025")</f>
        <v>5E-025</v>
      </c>
      <c r="V370" t="str">
        <f>HYPERLINK("http://www.ncbi.nlm.nih.gov/protein/156538160","gi|156538160")</f>
        <v>gi|156538160</v>
      </c>
      <c r="W370">
        <v>115</v>
      </c>
      <c r="X370">
        <v>150</v>
      </c>
      <c r="Y370">
        <v>160</v>
      </c>
      <c r="Z370">
        <v>45</v>
      </c>
      <c r="AA370">
        <v>94</v>
      </c>
      <c r="AB370">
        <v>82</v>
      </c>
      <c r="AC370">
        <v>43</v>
      </c>
      <c r="AD370">
        <v>1</v>
      </c>
      <c r="AE370">
        <v>3</v>
      </c>
      <c r="AF370">
        <v>1</v>
      </c>
      <c r="AH370" t="s">
        <v>13</v>
      </c>
      <c r="AI370" t="s">
        <v>51</v>
      </c>
      <c r="AJ370" t="s">
        <v>274</v>
      </c>
      <c r="AK370" t="str">
        <f>HYPERLINK(".\links\SWISSP\TI-589-SWISSP.txt","Chromatin complexes subunit BAP18 OS=Homo sapiens GN=BAP18 PE=1 SV=1")</f>
        <v>Chromatin complexes subunit BAP18 OS=Homo sapiens GN=BAP18 PE=1 SV=1</v>
      </c>
      <c r="AL370" t="str">
        <f>HYPERLINK("http://www.uniprot.org/uniprot/Q8IXM2","2E-010")</f>
        <v>2E-010</v>
      </c>
      <c r="AM370" t="s">
        <v>261</v>
      </c>
      <c r="AN370">
        <v>64.3</v>
      </c>
      <c r="AO370">
        <v>90</v>
      </c>
      <c r="AP370">
        <v>172</v>
      </c>
      <c r="AQ370">
        <v>42</v>
      </c>
      <c r="AR370">
        <v>53</v>
      </c>
      <c r="AS370">
        <v>52</v>
      </c>
      <c r="AT370">
        <v>36</v>
      </c>
      <c r="AU370">
        <v>1</v>
      </c>
      <c r="AV370">
        <v>3</v>
      </c>
      <c r="AW370">
        <v>1</v>
      </c>
      <c r="AX370" t="s">
        <v>68</v>
      </c>
      <c r="AY370" t="str">
        <f>HYPERLINK(".\links\PREV-RHOD-PEP\TI-589-PREV-RHOD-PEP.txt","Contig17238_5")</f>
        <v>Contig17238_5</v>
      </c>
      <c r="AZ370" s="3">
        <v>9.9999999999999994E-50</v>
      </c>
      <c r="BA370" t="s">
        <v>992</v>
      </c>
      <c r="BB370">
        <v>191</v>
      </c>
      <c r="BC370">
        <v>151</v>
      </c>
      <c r="BD370">
        <v>152</v>
      </c>
      <c r="BE370">
        <v>66</v>
      </c>
      <c r="BF370">
        <v>100</v>
      </c>
      <c r="BG370">
        <v>51</v>
      </c>
      <c r="BH370">
        <v>34</v>
      </c>
      <c r="BI370">
        <v>1</v>
      </c>
      <c r="BJ370">
        <v>3</v>
      </c>
      <c r="BK370">
        <v>1</v>
      </c>
      <c r="BL370" t="s">
        <v>379</v>
      </c>
      <c r="BM370">
        <f>HYPERLINK(".\links\GO\TI-589-GO.txt",0.00000000000003)</f>
        <v>2.9999999999999998E-14</v>
      </c>
      <c r="BN370" t="s">
        <v>373</v>
      </c>
      <c r="BO370" t="s">
        <v>373</v>
      </c>
      <c r="BQ370" t="s">
        <v>374</v>
      </c>
      <c r="BR370">
        <v>2.9999999999999998E-14</v>
      </c>
      <c r="BS370" t="s">
        <v>375</v>
      </c>
      <c r="BT370" t="s">
        <v>375</v>
      </c>
      <c r="BV370" t="s">
        <v>376</v>
      </c>
      <c r="BW370">
        <v>2.9999999999999998E-14</v>
      </c>
      <c r="BX370" t="s">
        <v>380</v>
      </c>
      <c r="BY370" t="s">
        <v>373</v>
      </c>
      <c r="CA370" t="s">
        <v>381</v>
      </c>
      <c r="CB370">
        <v>2.9999999999999998E-14</v>
      </c>
      <c r="CC370" t="s">
        <v>8</v>
      </c>
      <c r="CF370" t="s">
        <v>8</v>
      </c>
      <c r="CI370" t="s">
        <v>8</v>
      </c>
      <c r="CK370" t="s">
        <v>8</v>
      </c>
      <c r="CM370" t="s">
        <v>8</v>
      </c>
      <c r="CO370" t="s">
        <v>8</v>
      </c>
      <c r="DC370" t="s">
        <v>8</v>
      </c>
    </row>
    <row r="371" spans="1:120">
      <c r="A371" t="str">
        <f>HYPERLINK(".\links\pep\TI-590-pep.txt","TI-590")</f>
        <v>TI-590</v>
      </c>
      <c r="B371">
        <v>590</v>
      </c>
      <c r="C371" t="s">
        <v>7</v>
      </c>
      <c r="D371">
        <v>120</v>
      </c>
      <c r="E371" s="2">
        <v>11.66667</v>
      </c>
      <c r="F371" t="str">
        <f>HYPERLINK(".\links\cds\TI-590-cds.txt","TI-590")</f>
        <v>TI-590</v>
      </c>
      <c r="G371">
        <v>363</v>
      </c>
      <c r="I371" t="s">
        <v>29</v>
      </c>
      <c r="J371" t="s">
        <v>6</v>
      </c>
      <c r="K371">
        <v>0</v>
      </c>
      <c r="L371">
        <v>1</v>
      </c>
      <c r="M371">
        <f t="shared" si="21"/>
        <v>-1</v>
      </c>
      <c r="N371">
        <f t="shared" si="22"/>
        <v>1</v>
      </c>
      <c r="O371" t="s">
        <v>1361</v>
      </c>
      <c r="P371" t="s">
        <v>1178</v>
      </c>
      <c r="Q371" t="str">
        <f>HYPERLINK(".\links\NR-LIGHT\TI-590-NR-LIGHT.txt","NR-LIGHT")</f>
        <v>NR-LIGHT</v>
      </c>
      <c r="R371">
        <v>2.9999999999999998E-15</v>
      </c>
      <c r="S371">
        <v>94.3</v>
      </c>
      <c r="T371" t="str">
        <f>HYPERLINK(".\links\NR-LIGHT\TI-590-NR-LIGHT.txt","similar to conserved hypothetical protein")</f>
        <v>similar to conserved hypothetical protein</v>
      </c>
      <c r="U371" t="str">
        <f>HYPERLINK("http://www.ncbi.nlm.nih.gov/sutils/blink.cgi?pid=156538160","3E-015")</f>
        <v>3E-015</v>
      </c>
      <c r="V371" t="str">
        <f>HYPERLINK("http://www.ncbi.nlm.nih.gov/protein/156538160","gi|156538160")</f>
        <v>gi|156538160</v>
      </c>
      <c r="W371">
        <v>82.4</v>
      </c>
      <c r="X371">
        <v>150</v>
      </c>
      <c r="Y371">
        <v>160</v>
      </c>
      <c r="Z371">
        <v>35</v>
      </c>
      <c r="AA371">
        <v>94</v>
      </c>
      <c r="AB371">
        <v>97</v>
      </c>
      <c r="AC371">
        <v>43</v>
      </c>
      <c r="AD371">
        <v>1</v>
      </c>
      <c r="AE371">
        <v>3</v>
      </c>
      <c r="AF371">
        <v>1</v>
      </c>
      <c r="AH371" t="s">
        <v>13</v>
      </c>
      <c r="AI371" t="s">
        <v>51</v>
      </c>
      <c r="AJ371" t="s">
        <v>274</v>
      </c>
      <c r="AK371" t="s">
        <v>8</v>
      </c>
      <c r="AY371" t="str">
        <f>HYPERLINK(".\links\PREV-RHOD-PEP\TI-590-PREV-RHOD-PEP.txt","Contig17238_5")</f>
        <v>Contig17238_5</v>
      </c>
      <c r="AZ371" s="3">
        <v>9.9999999999999996E-39</v>
      </c>
      <c r="BA371" t="s">
        <v>992</v>
      </c>
      <c r="BB371">
        <v>154</v>
      </c>
      <c r="BC371">
        <v>151</v>
      </c>
      <c r="BD371">
        <v>152</v>
      </c>
      <c r="BE371">
        <v>55</v>
      </c>
      <c r="BF371">
        <v>100</v>
      </c>
      <c r="BG371">
        <v>68</v>
      </c>
      <c r="BH371">
        <v>34</v>
      </c>
      <c r="BI371">
        <v>1</v>
      </c>
      <c r="BJ371">
        <v>3</v>
      </c>
      <c r="BK371">
        <v>1</v>
      </c>
      <c r="BL371" t="s">
        <v>379</v>
      </c>
      <c r="BM371">
        <f>HYPERLINK(".\links\GO\TI-590-GO.txt",0.000004)</f>
        <v>3.9999999999999998E-6</v>
      </c>
      <c r="BN371" t="s">
        <v>373</v>
      </c>
      <c r="BO371" t="s">
        <v>373</v>
      </c>
      <c r="BQ371" t="s">
        <v>374</v>
      </c>
      <c r="BR371">
        <v>3.9999999999999998E-6</v>
      </c>
      <c r="BS371" t="s">
        <v>375</v>
      </c>
      <c r="BT371" t="s">
        <v>375</v>
      </c>
      <c r="BV371" t="s">
        <v>376</v>
      </c>
      <c r="BW371">
        <v>3.9999999999999998E-6</v>
      </c>
      <c r="BX371" t="s">
        <v>380</v>
      </c>
      <c r="BY371" t="s">
        <v>373</v>
      </c>
      <c r="CA371" t="s">
        <v>381</v>
      </c>
      <c r="CB371">
        <v>3.9999999999999998E-6</v>
      </c>
      <c r="CC371" t="s">
        <v>8</v>
      </c>
      <c r="CF371" t="s">
        <v>8</v>
      </c>
      <c r="CI371" t="s">
        <v>8</v>
      </c>
      <c r="CK371" t="s">
        <v>8</v>
      </c>
      <c r="CM371" t="s">
        <v>8</v>
      </c>
      <c r="CO371" t="s">
        <v>8</v>
      </c>
      <c r="DC371" t="s">
        <v>8</v>
      </c>
    </row>
  </sheetData>
  <sortState ref="A2:DR556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5"/>
  <sheetData>
    <row r="1" spans="1:120" s="1" customFormat="1" ht="90">
      <c r="A1" s="1" t="s">
        <v>31</v>
      </c>
      <c r="B1" s="1" t="s">
        <v>32</v>
      </c>
      <c r="C1" s="1" t="s">
        <v>0</v>
      </c>
      <c r="D1" s="1" t="s">
        <v>1</v>
      </c>
      <c r="E1" s="1" t="s">
        <v>3</v>
      </c>
      <c r="F1" s="1" t="s">
        <v>30</v>
      </c>
      <c r="G1" s="1" t="s">
        <v>1</v>
      </c>
      <c r="H1" s="1" t="s">
        <v>4</v>
      </c>
      <c r="I1" s="1" t="s">
        <v>5</v>
      </c>
      <c r="J1" s="1" t="s">
        <v>6</v>
      </c>
      <c r="K1" s="1" t="s">
        <v>1164</v>
      </c>
      <c r="L1" s="1" t="s">
        <v>1165</v>
      </c>
      <c r="M1" s="1" t="s">
        <v>1362</v>
      </c>
      <c r="N1" s="1" t="s">
        <v>1166</v>
      </c>
      <c r="O1" s="1" t="s">
        <v>2</v>
      </c>
      <c r="P1" s="1" t="s">
        <v>1171</v>
      </c>
      <c r="Q1" s="1" t="s">
        <v>1244</v>
      </c>
      <c r="R1" s="1" t="s">
        <v>1245</v>
      </c>
      <c r="S1" s="1" t="s">
        <v>1246</v>
      </c>
      <c r="T1" s="1" t="s">
        <v>262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49</v>
      </c>
      <c r="AY1" s="1" t="s">
        <v>982</v>
      </c>
      <c r="AZ1" s="1" t="s">
        <v>34</v>
      </c>
      <c r="BA1" s="1" t="s">
        <v>35</v>
      </c>
      <c r="BB1" s="1" t="s">
        <v>36</v>
      </c>
      <c r="BC1" s="1" t="s">
        <v>37</v>
      </c>
      <c r="BD1" s="1" t="s">
        <v>38</v>
      </c>
      <c r="BE1" s="1" t="s">
        <v>39</v>
      </c>
      <c r="BF1" s="1" t="s">
        <v>40</v>
      </c>
      <c r="BG1" s="1" t="s">
        <v>41</v>
      </c>
      <c r="BH1" s="1" t="s">
        <v>42</v>
      </c>
      <c r="BI1" s="1" t="s">
        <v>43</v>
      </c>
      <c r="BJ1" s="1" t="s">
        <v>44</v>
      </c>
      <c r="BK1" s="1" t="s">
        <v>45</v>
      </c>
      <c r="BL1" s="1" t="s">
        <v>303</v>
      </c>
      <c r="BM1" s="1" t="s">
        <v>34</v>
      </c>
      <c r="BN1" s="1" t="s">
        <v>304</v>
      </c>
      <c r="BO1" s="1" t="s">
        <v>305</v>
      </c>
      <c r="BP1" s="1" t="s">
        <v>306</v>
      </c>
      <c r="BQ1" s="1" t="s">
        <v>307</v>
      </c>
      <c r="BR1" s="1" t="s">
        <v>308</v>
      </c>
      <c r="BS1" s="1" t="s">
        <v>309</v>
      </c>
      <c r="BT1" s="1" t="s">
        <v>310</v>
      </c>
      <c r="BU1" s="1" t="s">
        <v>311</v>
      </c>
      <c r="BV1" s="1" t="s">
        <v>307</v>
      </c>
      <c r="BW1" s="1" t="s">
        <v>312</v>
      </c>
      <c r="BX1" s="1" t="s">
        <v>313</v>
      </c>
      <c r="BY1" s="1" t="s">
        <v>314</v>
      </c>
      <c r="BZ1" s="1" t="s">
        <v>315</v>
      </c>
      <c r="CA1" s="1" t="s">
        <v>307</v>
      </c>
      <c r="CB1" s="1" t="s">
        <v>316</v>
      </c>
      <c r="CC1" s="1" t="s">
        <v>970</v>
      </c>
      <c r="CD1" s="1" t="s">
        <v>34</v>
      </c>
      <c r="CE1" s="1" t="s">
        <v>971</v>
      </c>
      <c r="CF1" s="1" t="s">
        <v>973</v>
      </c>
      <c r="CG1" s="1" t="s">
        <v>34</v>
      </c>
      <c r="CH1" s="1" t="s">
        <v>974</v>
      </c>
      <c r="CI1" s="1" t="s">
        <v>976</v>
      </c>
      <c r="CJ1" s="1" t="s">
        <v>34</v>
      </c>
      <c r="CK1" s="1" t="s">
        <v>977</v>
      </c>
      <c r="CL1" s="1" t="s">
        <v>34</v>
      </c>
      <c r="CM1" s="1" t="s">
        <v>978</v>
      </c>
      <c r="CN1" s="1" t="s">
        <v>34</v>
      </c>
      <c r="CO1" s="1" t="s">
        <v>979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1" t="s">
        <v>43</v>
      </c>
      <c r="CZ1" s="1" t="s">
        <v>44</v>
      </c>
      <c r="DA1" s="1" t="s">
        <v>45</v>
      </c>
      <c r="DB1" s="1" t="s">
        <v>48</v>
      </c>
      <c r="DC1" s="1" t="s">
        <v>980</v>
      </c>
      <c r="DD1" s="1" t="s">
        <v>34</v>
      </c>
      <c r="DE1" s="1" t="s">
        <v>35</v>
      </c>
      <c r="DF1" s="1" t="s">
        <v>36</v>
      </c>
      <c r="DG1" s="1" t="s">
        <v>37</v>
      </c>
      <c r="DH1" s="1" t="s">
        <v>38</v>
      </c>
      <c r="DI1" s="1" t="s">
        <v>39</v>
      </c>
      <c r="DJ1" s="1" t="s">
        <v>40</v>
      </c>
      <c r="DK1" s="1" t="s">
        <v>41</v>
      </c>
      <c r="DL1" s="1" t="s">
        <v>42</v>
      </c>
      <c r="DM1" s="1" t="s">
        <v>43</v>
      </c>
      <c r="DN1" s="1" t="s">
        <v>44</v>
      </c>
      <c r="DO1" s="1" t="s">
        <v>45</v>
      </c>
      <c r="DP1" s="1" t="s">
        <v>48</v>
      </c>
    </row>
    <row r="2" spans="1:120">
      <c r="A2" t="str">
        <f>HYPERLINK(".\links\pep\TI-5-pep.txt","TI-5")</f>
        <v>TI-5</v>
      </c>
      <c r="B2">
        <v>5</v>
      </c>
      <c r="C2" t="s">
        <v>13</v>
      </c>
      <c r="D2">
        <v>236</v>
      </c>
      <c r="E2">
        <v>0</v>
      </c>
      <c r="F2" t="str">
        <f>HYPERLINK(".\links\cds\TI-5-cds.txt","TI-5")</f>
        <v>TI-5</v>
      </c>
      <c r="G2">
        <v>706</v>
      </c>
      <c r="I2" t="s">
        <v>8</v>
      </c>
      <c r="J2" t="s">
        <v>8</v>
      </c>
      <c r="K2">
        <v>3</v>
      </c>
      <c r="L2">
        <v>0</v>
      </c>
      <c r="M2">
        <f t="shared" ref="M2" si="0">K2-L2</f>
        <v>3</v>
      </c>
      <c r="N2">
        <f t="shared" ref="N2" si="1">ABS(K2-L2)</f>
        <v>3</v>
      </c>
      <c r="O2" t="s">
        <v>1248</v>
      </c>
      <c r="P2" t="s">
        <v>1172</v>
      </c>
      <c r="Q2" t="str">
        <f>HYPERLINK(".\links\SWISSP\TI-5-SWISSP.txt","SWISSP")</f>
        <v>SWISSP</v>
      </c>
      <c r="R2" s="3">
        <v>1.9999999999999999E-29</v>
      </c>
      <c r="S2">
        <v>30.1</v>
      </c>
      <c r="T2" t="str">
        <f>HYPERLINK(".\links\NR-LIGHT\TI-5-NR-LIGHT.txt","hypothetical protein TcasGA2_TC001323")</f>
        <v>hypothetical protein TcasGA2_TC001323</v>
      </c>
      <c r="U2" t="str">
        <f>HYPERLINK("http://www.ncbi.nlm.nih.gov/sutils/blink.cgi?pid=270002312","5E-048")</f>
        <v>5E-048</v>
      </c>
      <c r="V2" t="str">
        <f>HYPERLINK("http://www.ncbi.nlm.nih.gov/protein/270002312","gi|270002312")</f>
        <v>gi|270002312</v>
      </c>
      <c r="W2">
        <v>193</v>
      </c>
      <c r="X2">
        <v>200</v>
      </c>
      <c r="Y2">
        <v>753</v>
      </c>
      <c r="Z2">
        <v>45</v>
      </c>
      <c r="AA2">
        <v>27</v>
      </c>
      <c r="AB2">
        <v>112</v>
      </c>
      <c r="AC2">
        <v>5</v>
      </c>
      <c r="AD2">
        <v>386</v>
      </c>
      <c r="AE2">
        <v>31</v>
      </c>
      <c r="AF2">
        <v>1</v>
      </c>
      <c r="AH2" t="s">
        <v>13</v>
      </c>
      <c r="AI2" t="s">
        <v>51</v>
      </c>
      <c r="AJ2" t="s">
        <v>266</v>
      </c>
      <c r="AK2" t="str">
        <f>HYPERLINK(".\links\SWISSP\TI-5-SWISSP.txt","CTL-like protein 2 OS=Anopheles gambiae GN=AGAP010343 PE=3 SV=4")</f>
        <v>CTL-like protein 2 OS=Anopheles gambiae GN=AGAP010343 PE=3 SV=4</v>
      </c>
      <c r="AL2" t="str">
        <f>HYPERLINK("http://www.uniprot.org/uniprot/Q7PRJ0","4E-043")</f>
        <v>4E-043</v>
      </c>
      <c r="AM2" t="s">
        <v>109</v>
      </c>
      <c r="AN2">
        <v>174</v>
      </c>
      <c r="AO2">
        <v>207</v>
      </c>
      <c r="AP2">
        <v>790</v>
      </c>
      <c r="AQ2">
        <v>43</v>
      </c>
      <c r="AR2">
        <v>26</v>
      </c>
      <c r="AS2">
        <v>120</v>
      </c>
      <c r="AT2">
        <v>8</v>
      </c>
      <c r="AU2">
        <v>421</v>
      </c>
      <c r="AV2">
        <v>31</v>
      </c>
      <c r="AW2">
        <v>1</v>
      </c>
      <c r="AX2" t="s">
        <v>110</v>
      </c>
      <c r="AY2" t="str">
        <f>HYPERLINK(".\links\PREV-RHOD-PEP\TI-5-PREV-RHOD-PEP.txt","Contig17825_23")</f>
        <v>Contig17825_23</v>
      </c>
      <c r="AZ2" s="3">
        <v>9.9999999999999999E-93</v>
      </c>
      <c r="BA2" t="s">
        <v>1025</v>
      </c>
      <c r="BB2">
        <v>335</v>
      </c>
      <c r="BC2">
        <v>243</v>
      </c>
      <c r="BD2">
        <v>684</v>
      </c>
      <c r="BE2">
        <v>66</v>
      </c>
      <c r="BF2">
        <v>36</v>
      </c>
      <c r="BG2">
        <v>81</v>
      </c>
      <c r="BH2">
        <v>8</v>
      </c>
      <c r="BI2">
        <v>288</v>
      </c>
      <c r="BJ2">
        <v>1</v>
      </c>
      <c r="BK2">
        <v>1</v>
      </c>
      <c r="BL2" t="s">
        <v>517</v>
      </c>
      <c r="BM2">
        <f>HYPERLINK(".\links\GO\TI-5-GO.txt",2E-24)</f>
        <v>1.9999999999999998E-24</v>
      </c>
      <c r="BN2" t="s">
        <v>518</v>
      </c>
      <c r="BO2" t="s">
        <v>319</v>
      </c>
      <c r="BP2" t="s">
        <v>320</v>
      </c>
      <c r="BQ2" t="s">
        <v>519</v>
      </c>
      <c r="BR2">
        <v>7.0000000000000005E-8</v>
      </c>
      <c r="BS2" t="s">
        <v>322</v>
      </c>
      <c r="BT2" t="s">
        <v>323</v>
      </c>
      <c r="BU2" t="s">
        <v>324</v>
      </c>
      <c r="BV2" t="s">
        <v>325</v>
      </c>
      <c r="BW2">
        <v>7.0000000000000005E-8</v>
      </c>
      <c r="BX2" t="s">
        <v>520</v>
      </c>
      <c r="BY2" t="s">
        <v>319</v>
      </c>
      <c r="BZ2" t="s">
        <v>320</v>
      </c>
      <c r="CA2" t="s">
        <v>521</v>
      </c>
      <c r="CB2">
        <v>7.0000000000000005E-8</v>
      </c>
      <c r="CC2" t="s">
        <v>8</v>
      </c>
      <c r="CF2" t="s">
        <v>8</v>
      </c>
      <c r="CI2" t="s">
        <v>8</v>
      </c>
      <c r="CK2" t="s">
        <v>8</v>
      </c>
      <c r="CM2" t="s">
        <v>8</v>
      </c>
      <c r="CO2" t="s">
        <v>8</v>
      </c>
      <c r="DC2" t="s">
        <v>8</v>
      </c>
    </row>
    <row r="3" spans="1:120" s="6" customFormat="1">
      <c r="A3" t="str">
        <f>HYPERLINK(".\links\pep\TI-129-pep.txt","TI-129")</f>
        <v>TI-129</v>
      </c>
      <c r="B3">
        <v>129</v>
      </c>
      <c r="C3" t="s">
        <v>7</v>
      </c>
      <c r="D3">
        <v>209</v>
      </c>
      <c r="E3">
        <v>0</v>
      </c>
      <c r="F3" t="str">
        <f>HYPERLINK(".\links\cds\TI-129-cds.txt","TI-129")</f>
        <v>TI-129</v>
      </c>
      <c r="G3">
        <v>630</v>
      </c>
      <c r="H3"/>
      <c r="I3" t="s">
        <v>29</v>
      </c>
      <c r="J3" t="s">
        <v>6</v>
      </c>
      <c r="K3">
        <v>6</v>
      </c>
      <c r="L3">
        <v>1</v>
      </c>
      <c r="M3">
        <f t="shared" ref="M3:M6" si="2">K3-L3</f>
        <v>5</v>
      </c>
      <c r="N3">
        <f t="shared" ref="N3:N6" si="3">ABS(K3-L3)</f>
        <v>5</v>
      </c>
      <c r="O3" t="s">
        <v>1277</v>
      </c>
      <c r="P3" t="s">
        <v>1188</v>
      </c>
      <c r="Q3" t="str">
        <f>HYPERLINK(".\links\NR-LIGHT\TI-129-NR-LIGHT.txt","NR-LIGHT")</f>
        <v>NR-LIGHT</v>
      </c>
      <c r="R3" s="3">
        <v>3E-52</v>
      </c>
      <c r="S3">
        <v>42.5</v>
      </c>
      <c r="T3" t="str">
        <f>HYPERLINK(".\links\NR-LIGHT\TI-129-NR-LIGHT.txt","similar to cytochrome P450 CYP6BK17")</f>
        <v>similar to cytochrome P450 CYP6BK17</v>
      </c>
      <c r="U3" t="str">
        <f>HYPERLINK("http://www.ncbi.nlm.nih.gov/sutils/blink.cgi?pid=91084707","3E-052")</f>
        <v>3E-052</v>
      </c>
      <c r="V3" t="str">
        <f>HYPERLINK("http://www.ncbi.nlm.nih.gov/protein/91084707","gi|91084707")</f>
        <v>gi|91084707</v>
      </c>
      <c r="W3">
        <v>206</v>
      </c>
      <c r="X3">
        <v>210</v>
      </c>
      <c r="Y3">
        <v>496</v>
      </c>
      <c r="Z3">
        <v>42</v>
      </c>
      <c r="AA3">
        <v>43</v>
      </c>
      <c r="AB3">
        <v>121</v>
      </c>
      <c r="AC3">
        <v>4</v>
      </c>
      <c r="AD3">
        <v>286</v>
      </c>
      <c r="AE3">
        <v>1</v>
      </c>
      <c r="AF3">
        <v>1</v>
      </c>
      <c r="AG3"/>
      <c r="AH3" t="s">
        <v>13</v>
      </c>
      <c r="AI3" t="s">
        <v>51</v>
      </c>
      <c r="AJ3" t="s">
        <v>266</v>
      </c>
      <c r="AK3" t="str">
        <f>HYPERLINK(".\links\SWISSP\TI-129-SWISSP.txt","Probable cytochrome P450 6a14 OS=Drosophila melanogaster GN=Cyp6a14 PE=3 SV=2")</f>
        <v>Probable cytochrome P450 6a14 OS=Drosophila melanogaster GN=Cyp6a14 PE=3 SV=2</v>
      </c>
      <c r="AL3" t="str">
        <f>HYPERLINK("http://www.uniprot.org/uniprot/Q9V4U7","2E-049")</f>
        <v>2E-049</v>
      </c>
      <c r="AM3" t="s">
        <v>144</v>
      </c>
      <c r="AN3">
        <v>195</v>
      </c>
      <c r="AO3">
        <v>211</v>
      </c>
      <c r="AP3">
        <v>509</v>
      </c>
      <c r="AQ3">
        <v>44</v>
      </c>
      <c r="AR3">
        <v>42</v>
      </c>
      <c r="AS3">
        <v>117</v>
      </c>
      <c r="AT3">
        <v>5</v>
      </c>
      <c r="AU3">
        <v>298</v>
      </c>
      <c r="AV3">
        <v>1</v>
      </c>
      <c r="AW3">
        <v>1</v>
      </c>
      <c r="AX3" t="s">
        <v>52</v>
      </c>
      <c r="AY3" t="str">
        <f>HYPERLINK(".\links\PREV-RHOD-PEP\TI-129-PREV-RHOD-PEP.txt","Contig1437_2")</f>
        <v>Contig1437_2</v>
      </c>
      <c r="AZ3" s="3">
        <v>1.9999999999999999E-98</v>
      </c>
      <c r="BA3" t="s">
        <v>1058</v>
      </c>
      <c r="BB3">
        <v>353</v>
      </c>
      <c r="BC3">
        <v>720</v>
      </c>
      <c r="BD3">
        <v>826</v>
      </c>
      <c r="BE3">
        <v>79</v>
      </c>
      <c r="BF3">
        <v>87</v>
      </c>
      <c r="BG3">
        <v>43</v>
      </c>
      <c r="BH3">
        <v>0</v>
      </c>
      <c r="BI3">
        <v>102</v>
      </c>
      <c r="BJ3">
        <v>1</v>
      </c>
      <c r="BK3">
        <v>2</v>
      </c>
      <c r="BL3" t="s">
        <v>630</v>
      </c>
      <c r="BM3">
        <f>HYPERLINK(".\links\GO\TI-129-GO.txt",6E-50)</f>
        <v>5.9999999999999998E-50</v>
      </c>
      <c r="BN3" t="s">
        <v>581</v>
      </c>
      <c r="BO3" t="s">
        <v>581</v>
      </c>
      <c r="BP3"/>
      <c r="BQ3" t="s">
        <v>582</v>
      </c>
      <c r="BR3" s="3">
        <v>2.9999999999999999E-46</v>
      </c>
      <c r="BS3" t="s">
        <v>452</v>
      </c>
      <c r="BT3" t="s">
        <v>323</v>
      </c>
      <c r="BU3" t="s">
        <v>390</v>
      </c>
      <c r="BV3" t="s">
        <v>453</v>
      </c>
      <c r="BW3" s="3">
        <v>2.9999999999999999E-46</v>
      </c>
      <c r="BX3" t="s">
        <v>631</v>
      </c>
      <c r="BY3" t="s">
        <v>581</v>
      </c>
      <c r="BZ3"/>
      <c r="CA3" t="s">
        <v>632</v>
      </c>
      <c r="CB3" s="3">
        <v>2.9999999999999999E-46</v>
      </c>
      <c r="CC3" t="s">
        <v>8</v>
      </c>
      <c r="CD3"/>
      <c r="CE3"/>
      <c r="CF3" t="s">
        <v>8</v>
      </c>
      <c r="CG3"/>
      <c r="CH3"/>
      <c r="CI3" t="s">
        <v>8</v>
      </c>
      <c r="CJ3"/>
      <c r="CK3" t="s">
        <v>8</v>
      </c>
      <c r="CL3"/>
      <c r="CM3" t="s">
        <v>8</v>
      </c>
      <c r="CN3"/>
      <c r="CO3" t="s">
        <v>8</v>
      </c>
      <c r="CP3"/>
      <c r="CQ3"/>
      <c r="CR3"/>
      <c r="CS3"/>
      <c r="CT3"/>
      <c r="CU3"/>
      <c r="CV3"/>
      <c r="CW3"/>
      <c r="CX3"/>
      <c r="CY3"/>
      <c r="CZ3"/>
      <c r="DA3"/>
      <c r="DB3"/>
      <c r="DC3" t="s">
        <v>8</v>
      </c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6" customFormat="1">
      <c r="A4" t="str">
        <f>HYPERLINK(".\links\pep\TI-145-pep.txt","TI-145")</f>
        <v>TI-145</v>
      </c>
      <c r="B4">
        <v>145</v>
      </c>
      <c r="C4" t="s">
        <v>7</v>
      </c>
      <c r="D4">
        <v>136</v>
      </c>
      <c r="E4">
        <v>0</v>
      </c>
      <c r="F4" t="str">
        <f>HYPERLINK(".\links\cds\TI-145-cds.txt","TI-145")</f>
        <v>TI-145</v>
      </c>
      <c r="G4">
        <v>411</v>
      </c>
      <c r="H4"/>
      <c r="I4" t="s">
        <v>29</v>
      </c>
      <c r="J4" t="s">
        <v>6</v>
      </c>
      <c r="K4">
        <v>3</v>
      </c>
      <c r="L4">
        <v>0</v>
      </c>
      <c r="M4">
        <f t="shared" si="2"/>
        <v>3</v>
      </c>
      <c r="N4">
        <f t="shared" si="3"/>
        <v>3</v>
      </c>
      <c r="O4" t="s">
        <v>1280</v>
      </c>
      <c r="P4" t="s">
        <v>1169</v>
      </c>
      <c r="Q4" t="str">
        <f>HYPERLINK(".\links\NR-LIGHT\TI-145-NR-LIGHT.txt","NR-LIGHT")</f>
        <v>NR-LIGHT</v>
      </c>
      <c r="R4" s="3">
        <v>2.9999999999999999E-56</v>
      </c>
      <c r="S4">
        <v>100.7</v>
      </c>
      <c r="T4" t="str">
        <f>HYPERLINK(".\links\NR-LIGHT\TI-145-NR-LIGHT.txt","ribosomal protein L27")</f>
        <v>ribosomal protein L27</v>
      </c>
      <c r="U4" t="str">
        <f>HYPERLINK("http://www.ncbi.nlm.nih.gov/sutils/blink.cgi?pid=187121184","3E-056")</f>
        <v>3E-056</v>
      </c>
      <c r="V4" t="str">
        <f>HYPERLINK("http://www.ncbi.nlm.nih.gov/protein/187121184","gi|187121184")</f>
        <v>gi|187121184</v>
      </c>
      <c r="W4">
        <v>219</v>
      </c>
      <c r="X4">
        <v>134</v>
      </c>
      <c r="Y4">
        <v>135</v>
      </c>
      <c r="Z4">
        <v>77</v>
      </c>
      <c r="AA4">
        <v>100</v>
      </c>
      <c r="AB4">
        <v>31</v>
      </c>
      <c r="AC4">
        <v>1</v>
      </c>
      <c r="AD4">
        <v>1</v>
      </c>
      <c r="AE4">
        <v>1</v>
      </c>
      <c r="AF4">
        <v>1</v>
      </c>
      <c r="AG4"/>
      <c r="AH4" t="s">
        <v>13</v>
      </c>
      <c r="AI4" t="s">
        <v>51</v>
      </c>
      <c r="AJ4" t="s">
        <v>264</v>
      </c>
      <c r="AK4" t="str">
        <f>HYPERLINK(".\links\SWISSP\TI-145-SWISSP.txt","60S ribosomal protein L27 OS=Danio rerio GN=rpl27 PE=2 SV=3")</f>
        <v>60S ribosomal protein L27 OS=Danio rerio GN=rpl27 PE=2 SV=3</v>
      </c>
      <c r="AL4" t="str">
        <f>HYPERLINK("http://www.uniprot.org/uniprot/Q7ZV82","6E-043")</f>
        <v>6E-043</v>
      </c>
      <c r="AM4" t="s">
        <v>149</v>
      </c>
      <c r="AN4">
        <v>172</v>
      </c>
      <c r="AO4">
        <v>135</v>
      </c>
      <c r="AP4">
        <v>136</v>
      </c>
      <c r="AQ4">
        <v>64</v>
      </c>
      <c r="AR4">
        <v>100</v>
      </c>
      <c r="AS4">
        <v>48</v>
      </c>
      <c r="AT4">
        <v>2</v>
      </c>
      <c r="AU4">
        <v>1</v>
      </c>
      <c r="AV4">
        <v>1</v>
      </c>
      <c r="AW4">
        <v>1</v>
      </c>
      <c r="AX4" t="s">
        <v>85</v>
      </c>
      <c r="AY4" t="str">
        <f>HYPERLINK(".\links\PREV-RHOD-PEP\TI-145-PREV-RHOD-PEP.txt","Contig17146_15")</f>
        <v>Contig17146_15</v>
      </c>
      <c r="AZ4" s="3">
        <v>9.9999999999999992E-66</v>
      </c>
      <c r="BA4" t="s">
        <v>1061</v>
      </c>
      <c r="BB4">
        <v>244</v>
      </c>
      <c r="BC4">
        <v>125</v>
      </c>
      <c r="BD4">
        <v>405</v>
      </c>
      <c r="BE4">
        <v>95</v>
      </c>
      <c r="BF4">
        <v>31</v>
      </c>
      <c r="BG4">
        <v>6</v>
      </c>
      <c r="BH4">
        <v>0</v>
      </c>
      <c r="BI4">
        <v>1</v>
      </c>
      <c r="BJ4">
        <v>1</v>
      </c>
      <c r="BK4">
        <v>1</v>
      </c>
      <c r="BL4" t="s">
        <v>647</v>
      </c>
      <c r="BM4">
        <f>HYPERLINK(".\links\GO\TI-145-GO.txt",3E-43)</f>
        <v>3E-43</v>
      </c>
      <c r="BN4" t="s">
        <v>373</v>
      </c>
      <c r="BO4" t="s">
        <v>373</v>
      </c>
      <c r="BP4"/>
      <c r="BQ4" t="s">
        <v>374</v>
      </c>
      <c r="BR4" s="3">
        <v>3E-43</v>
      </c>
      <c r="BS4" t="s">
        <v>648</v>
      </c>
      <c r="BT4" t="s">
        <v>323</v>
      </c>
      <c r="BU4" t="s">
        <v>334</v>
      </c>
      <c r="BV4" t="s">
        <v>649</v>
      </c>
      <c r="BW4" s="3">
        <v>3E-43</v>
      </c>
      <c r="BX4" t="s">
        <v>380</v>
      </c>
      <c r="BY4" t="s">
        <v>373</v>
      </c>
      <c r="BZ4"/>
      <c r="CA4" t="s">
        <v>381</v>
      </c>
      <c r="CB4" s="3">
        <v>3E-43</v>
      </c>
      <c r="CC4" t="s">
        <v>8</v>
      </c>
      <c r="CD4"/>
      <c r="CE4"/>
      <c r="CF4" t="s">
        <v>8</v>
      </c>
      <c r="CG4"/>
      <c r="CH4"/>
      <c r="CI4" t="s">
        <v>8</v>
      </c>
      <c r="CJ4"/>
      <c r="CK4" t="s">
        <v>8</v>
      </c>
      <c r="CL4"/>
      <c r="CM4" t="s">
        <v>8</v>
      </c>
      <c r="CN4"/>
      <c r="CO4" t="s">
        <v>8</v>
      </c>
      <c r="CP4"/>
      <c r="CQ4"/>
      <c r="CR4"/>
      <c r="CS4"/>
      <c r="CT4"/>
      <c r="CU4"/>
      <c r="CV4"/>
      <c r="CW4"/>
      <c r="CX4"/>
      <c r="CY4"/>
      <c r="CZ4"/>
      <c r="DA4"/>
      <c r="DB4"/>
      <c r="DC4" t="s">
        <v>8</v>
      </c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s="6" customFormat="1">
      <c r="A5" t="str">
        <f>HYPERLINK(".\links\pep\TI-200-pep.txt","TI-200")</f>
        <v>TI-200</v>
      </c>
      <c r="B5">
        <v>200</v>
      </c>
      <c r="C5" t="s">
        <v>7</v>
      </c>
      <c r="D5">
        <v>162</v>
      </c>
      <c r="E5">
        <v>0</v>
      </c>
      <c r="F5" t="str">
        <f>HYPERLINK(".\links\cds\TI-200-cds.txt","TI-200")</f>
        <v>TI-200</v>
      </c>
      <c r="G5">
        <v>489</v>
      </c>
      <c r="H5"/>
      <c r="I5" t="s">
        <v>29</v>
      </c>
      <c r="J5" t="s">
        <v>6</v>
      </c>
      <c r="K5">
        <v>4</v>
      </c>
      <c r="L5">
        <v>0</v>
      </c>
      <c r="M5">
        <f t="shared" si="2"/>
        <v>4</v>
      </c>
      <c r="N5">
        <f t="shared" si="3"/>
        <v>4</v>
      </c>
      <c r="O5" t="s">
        <v>1291</v>
      </c>
      <c r="P5" t="s">
        <v>1188</v>
      </c>
      <c r="Q5" t="str">
        <f>HYPERLINK(".\links\NR-LIGHT\TI-200-NR-LIGHT.txt","NR-LIGHT")</f>
        <v>NR-LIGHT</v>
      </c>
      <c r="R5">
        <v>2E-8</v>
      </c>
      <c r="S5">
        <v>78.599999999999994</v>
      </c>
      <c r="T5" t="str">
        <f>HYPERLINK(".\links\NR-LIGHT\TI-200-NR-LIGHT.txt","hypothetical protein TcasGA2_TC002967")</f>
        <v>hypothetical protein TcasGA2_TC002967</v>
      </c>
      <c r="U5" t="str">
        <f>HYPERLINK("http://www.ncbi.nlm.nih.gov/sutils/blink.cgi?pid=270003698","2E-010")</f>
        <v>2E-010</v>
      </c>
      <c r="V5" t="str">
        <f>HYPERLINK("http://www.ncbi.nlm.nih.gov/protein/270003698","gi|270003698")</f>
        <v>gi|270003698</v>
      </c>
      <c r="W5">
        <v>67</v>
      </c>
      <c r="X5">
        <v>133</v>
      </c>
      <c r="Y5">
        <v>165</v>
      </c>
      <c r="Z5">
        <v>29</v>
      </c>
      <c r="AA5">
        <v>81</v>
      </c>
      <c r="AB5">
        <v>94</v>
      </c>
      <c r="AC5">
        <v>2</v>
      </c>
      <c r="AD5">
        <v>23</v>
      </c>
      <c r="AE5">
        <v>22</v>
      </c>
      <c r="AF5">
        <v>1</v>
      </c>
      <c r="AG5"/>
      <c r="AH5" t="s">
        <v>13</v>
      </c>
      <c r="AI5" t="s">
        <v>51</v>
      </c>
      <c r="AJ5" t="s">
        <v>266</v>
      </c>
      <c r="AK5" t="s">
        <v>8</v>
      </c>
      <c r="AL5"/>
      <c r="AM5"/>
      <c r="AN5"/>
      <c r="AO5"/>
      <c r="AP5"/>
      <c r="AQ5"/>
      <c r="AR5"/>
      <c r="AS5"/>
      <c r="AT5"/>
      <c r="AU5"/>
      <c r="AV5"/>
      <c r="AW5"/>
      <c r="AX5"/>
      <c r="AY5" t="str">
        <f>HYPERLINK(".\links\PREV-RHOD-PEP\TI-200-PREV-RHOD-PEP.txt","Contig17971_367")</f>
        <v>Contig17971_367</v>
      </c>
      <c r="AZ5" s="3">
        <v>1.9999999999999999E-38</v>
      </c>
      <c r="BA5" t="s">
        <v>1076</v>
      </c>
      <c r="BB5">
        <v>154</v>
      </c>
      <c r="BC5">
        <v>90</v>
      </c>
      <c r="BD5">
        <v>109</v>
      </c>
      <c r="BE5">
        <v>75</v>
      </c>
      <c r="BF5">
        <v>83</v>
      </c>
      <c r="BG5">
        <v>22</v>
      </c>
      <c r="BH5">
        <v>0</v>
      </c>
      <c r="BI5">
        <v>3</v>
      </c>
      <c r="BJ5">
        <v>2</v>
      </c>
      <c r="BK5">
        <v>1</v>
      </c>
      <c r="BL5" t="s">
        <v>8</v>
      </c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 t="s">
        <v>8</v>
      </c>
      <c r="CD5"/>
      <c r="CE5"/>
      <c r="CF5" t="s">
        <v>8</v>
      </c>
      <c r="CG5"/>
      <c r="CH5"/>
      <c r="CI5" t="s">
        <v>8</v>
      </c>
      <c r="CJ5"/>
      <c r="CK5" t="s">
        <v>8</v>
      </c>
      <c r="CL5"/>
      <c r="CM5" t="s">
        <v>8</v>
      </c>
      <c r="CN5"/>
      <c r="CO5" t="s">
        <v>8</v>
      </c>
      <c r="CP5"/>
      <c r="CQ5"/>
      <c r="CR5"/>
      <c r="CS5"/>
      <c r="CT5"/>
      <c r="CU5"/>
      <c r="CV5"/>
      <c r="CW5"/>
      <c r="CX5"/>
      <c r="CY5"/>
      <c r="CZ5"/>
      <c r="DA5"/>
      <c r="DB5"/>
      <c r="DC5" t="s">
        <v>8</v>
      </c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 s="6" customFormat="1">
      <c r="A6" s="6" t="str">
        <f>HYPERLINK(".\links\pep\TI-239-pep.txt","TI-239")</f>
        <v>TI-239</v>
      </c>
      <c r="B6" s="6">
        <v>239</v>
      </c>
      <c r="C6" s="6" t="s">
        <v>27</v>
      </c>
      <c r="D6" s="6">
        <v>42</v>
      </c>
      <c r="E6" s="6">
        <v>0</v>
      </c>
      <c r="F6" s="6" t="str">
        <f>HYPERLINK(".\links\cds\TI-239-cds.txt","TI-239")</f>
        <v>TI-239</v>
      </c>
      <c r="G6" s="6">
        <v>129</v>
      </c>
      <c r="I6" s="6" t="s">
        <v>8</v>
      </c>
      <c r="J6" s="6" t="s">
        <v>6</v>
      </c>
      <c r="K6" s="6">
        <v>3</v>
      </c>
      <c r="L6" s="6">
        <v>0</v>
      </c>
      <c r="M6" s="6">
        <f t="shared" si="2"/>
        <v>3</v>
      </c>
      <c r="N6" s="6">
        <f t="shared" si="3"/>
        <v>3</v>
      </c>
      <c r="O6" s="6" t="s">
        <v>1170</v>
      </c>
      <c r="P6" s="6" t="s">
        <v>1171</v>
      </c>
      <c r="T6" s="6" t="s">
        <v>8</v>
      </c>
      <c r="AK6" s="6" t="s">
        <v>8</v>
      </c>
      <c r="AY6" s="6" t="s">
        <v>8</v>
      </c>
      <c r="BL6" s="6" t="s">
        <v>8</v>
      </c>
      <c r="CC6" s="6" t="s">
        <v>8</v>
      </c>
      <c r="CF6" s="6" t="s">
        <v>8</v>
      </c>
      <c r="CI6" s="6" t="s">
        <v>8</v>
      </c>
      <c r="CK6" s="6" t="s">
        <v>8</v>
      </c>
      <c r="CM6" s="6" t="s">
        <v>8</v>
      </c>
      <c r="CO6" s="6" t="str">
        <f>HYPERLINK(".\links\MIT-PLA\TI-239-MIT-PLA.txt","Triatoma infestans clone TI-67 NADH dehydrogenase subunit 6 mRNA, complete cds;")</f>
        <v>Triatoma infestans clone TI-67 NADH dehydrogenase subunit 6 mRNA, complete cds;</v>
      </c>
      <c r="CP6" s="6" t="str">
        <f>HYPERLINK("http://www.ncbi.nlm.nih.gov/entrez/viewer.fcgi?db=nucleotide&amp;val=149898873","2E-047")</f>
        <v>2E-047</v>
      </c>
      <c r="CQ6" s="6" t="str">
        <f>HYPERLINK("http://www.ncbi.nlm.nih.gov/entrez/viewer.fcgi?db=nucleotide&amp;val=149898873","gi|149898873")</f>
        <v>gi|149898873</v>
      </c>
      <c r="CR6" s="6">
        <v>182</v>
      </c>
      <c r="CS6" s="6">
        <v>95</v>
      </c>
      <c r="CT6" s="6">
        <v>456</v>
      </c>
      <c r="CU6" s="6">
        <v>98</v>
      </c>
      <c r="CV6" s="6">
        <v>21</v>
      </c>
      <c r="CW6" s="6">
        <v>1</v>
      </c>
      <c r="CX6" s="6">
        <v>0</v>
      </c>
      <c r="CY6" s="6">
        <v>1</v>
      </c>
      <c r="CZ6" s="6">
        <v>34</v>
      </c>
      <c r="DA6" s="6">
        <v>1</v>
      </c>
      <c r="DB6" s="6" t="s">
        <v>51</v>
      </c>
      <c r="DC6" s="6" t="s">
        <v>8</v>
      </c>
    </row>
    <row r="7" spans="1:120" s="6" customFormat="1">
      <c r="A7" t="str">
        <f>HYPERLINK(".\links\pep\TI-295-pep.txt","TI-295")</f>
        <v>TI-295</v>
      </c>
      <c r="B7">
        <v>295</v>
      </c>
      <c r="C7" t="s">
        <v>19</v>
      </c>
      <c r="D7">
        <v>174</v>
      </c>
      <c r="E7">
        <v>0</v>
      </c>
      <c r="F7" t="str">
        <f>HYPERLINK(".\links\cds\TI-295-cds.txt","TI-295")</f>
        <v>TI-295</v>
      </c>
      <c r="G7">
        <v>525</v>
      </c>
      <c r="H7"/>
      <c r="I7" t="s">
        <v>8</v>
      </c>
      <c r="J7" t="s">
        <v>6</v>
      </c>
      <c r="K7">
        <v>3</v>
      </c>
      <c r="L7">
        <v>0</v>
      </c>
      <c r="M7">
        <f t="shared" ref="M7:M9" si="4">K7-L7</f>
        <v>3</v>
      </c>
      <c r="N7">
        <f t="shared" ref="N7:N9" si="5">ABS(K7-L7)</f>
        <v>3</v>
      </c>
      <c r="O7" t="s">
        <v>1219</v>
      </c>
      <c r="P7" t="s">
        <v>1173</v>
      </c>
      <c r="Q7" t="str">
        <f>HYPERLINK(".\links\GO\TI-295-GO.txt","GO")</f>
        <v>GO</v>
      </c>
      <c r="R7" s="3">
        <v>9.9999999999999996E-39</v>
      </c>
      <c r="S7">
        <v>32.799999999999997</v>
      </c>
      <c r="T7" t="str">
        <f>HYPERLINK(".\links\NR-LIGHT\TI-295-NR-LIGHT.txt","amidotransferase subunit A, putative")</f>
        <v>amidotransferase subunit A, putative</v>
      </c>
      <c r="U7" t="str">
        <f>HYPERLINK("http://www.ncbi.nlm.nih.gov/sutils/blink.cgi?pid=242007160","2E-046")</f>
        <v>2E-046</v>
      </c>
      <c r="V7" t="str">
        <f>HYPERLINK("http://www.ncbi.nlm.nih.gov/protein/242007160","gi|242007160")</f>
        <v>gi|242007160</v>
      </c>
      <c r="W7">
        <v>187</v>
      </c>
      <c r="X7">
        <v>170</v>
      </c>
      <c r="Y7">
        <v>520</v>
      </c>
      <c r="Z7">
        <v>51</v>
      </c>
      <c r="AA7">
        <v>33</v>
      </c>
      <c r="AB7">
        <v>83</v>
      </c>
      <c r="AC7">
        <v>1</v>
      </c>
      <c r="AD7">
        <v>348</v>
      </c>
      <c r="AE7">
        <v>2</v>
      </c>
      <c r="AF7">
        <v>1</v>
      </c>
      <c r="AG7"/>
      <c r="AH7" t="s">
        <v>13</v>
      </c>
      <c r="AI7" t="s">
        <v>51</v>
      </c>
      <c r="AJ7" t="s">
        <v>268</v>
      </c>
      <c r="AK7" t="str">
        <f>HYPERLINK(".\links\SWISSP\TI-295-SWISSP.txt","Fatty-acid amide hydrolase 2 OS=Homo sapiens GN=FAAH2 PE=2 SV=1")</f>
        <v>Fatty-acid amide hydrolase 2 OS=Homo sapiens GN=FAAH2 PE=2 SV=1</v>
      </c>
      <c r="AL7" t="str">
        <f>HYPERLINK("http://www.uniprot.org/uniprot/Q6GMR7","3E-036")</f>
        <v>3E-036</v>
      </c>
      <c r="AM7" t="s">
        <v>180</v>
      </c>
      <c r="AN7">
        <v>150</v>
      </c>
      <c r="AO7">
        <v>176</v>
      </c>
      <c r="AP7">
        <v>532</v>
      </c>
      <c r="AQ7">
        <v>48</v>
      </c>
      <c r="AR7">
        <v>33</v>
      </c>
      <c r="AS7">
        <v>92</v>
      </c>
      <c r="AT7">
        <v>8</v>
      </c>
      <c r="AU7">
        <v>353</v>
      </c>
      <c r="AV7">
        <v>3</v>
      </c>
      <c r="AW7">
        <v>1</v>
      </c>
      <c r="AX7" t="s">
        <v>68</v>
      </c>
      <c r="AY7" t="str">
        <f>HYPERLINK(".\links\PREV-RHOD-PEP\TI-295-PREV-RHOD-PEP.txt","Contig17909_77")</f>
        <v>Contig17909_77</v>
      </c>
      <c r="AZ7" s="3">
        <v>8.9999999999999992E-87</v>
      </c>
      <c r="BA7" t="s">
        <v>1101</v>
      </c>
      <c r="BB7">
        <v>315</v>
      </c>
      <c r="BC7">
        <v>172</v>
      </c>
      <c r="BD7">
        <v>761</v>
      </c>
      <c r="BE7">
        <v>84</v>
      </c>
      <c r="BF7">
        <v>23</v>
      </c>
      <c r="BG7">
        <v>26</v>
      </c>
      <c r="BH7">
        <v>0</v>
      </c>
      <c r="BI7">
        <v>588</v>
      </c>
      <c r="BJ7">
        <v>1</v>
      </c>
      <c r="BK7">
        <v>1</v>
      </c>
      <c r="BL7" t="s">
        <v>774</v>
      </c>
      <c r="BM7">
        <f>HYPERLINK(".\links\GO\TI-295-GO.txt",1E-38)</f>
        <v>9.9999999999999996E-39</v>
      </c>
      <c r="BN7" t="s">
        <v>8</v>
      </c>
      <c r="BO7" t="s">
        <v>8</v>
      </c>
      <c r="BP7" t="s">
        <v>8</v>
      </c>
      <c r="BQ7" t="s">
        <v>8</v>
      </c>
      <c r="BR7" t="s">
        <v>8</v>
      </c>
      <c r="BS7" t="s">
        <v>8</v>
      </c>
      <c r="BT7" t="s">
        <v>8</v>
      </c>
      <c r="BU7" t="s">
        <v>8</v>
      </c>
      <c r="BV7" t="s">
        <v>8</v>
      </c>
      <c r="BW7" t="s">
        <v>8</v>
      </c>
      <c r="BX7" t="s">
        <v>775</v>
      </c>
      <c r="BY7" t="s">
        <v>345</v>
      </c>
      <c r="BZ7" t="s">
        <v>349</v>
      </c>
      <c r="CA7" t="s">
        <v>776</v>
      </c>
      <c r="CB7">
        <v>1E-3</v>
      </c>
      <c r="CC7" t="s">
        <v>8</v>
      </c>
      <c r="CD7"/>
      <c r="CE7"/>
      <c r="CF7" t="s">
        <v>8</v>
      </c>
      <c r="CG7"/>
      <c r="CH7"/>
      <c r="CI7" t="s">
        <v>8</v>
      </c>
      <c r="CJ7"/>
      <c r="CK7" t="s">
        <v>8</v>
      </c>
      <c r="CL7"/>
      <c r="CM7" t="s">
        <v>8</v>
      </c>
      <c r="CN7"/>
      <c r="CO7" t="s">
        <v>8</v>
      </c>
      <c r="CP7"/>
      <c r="CQ7"/>
      <c r="CR7"/>
      <c r="CS7"/>
      <c r="CT7"/>
      <c r="CU7"/>
      <c r="CV7"/>
      <c r="CW7"/>
      <c r="CX7"/>
      <c r="CY7"/>
      <c r="CZ7"/>
      <c r="DA7"/>
      <c r="DB7"/>
      <c r="DC7" t="s">
        <v>8</v>
      </c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6" customFormat="1">
      <c r="A8" t="str">
        <f>HYPERLINK(".\links\pep\TI-324-pep.txt","TI-324")</f>
        <v>TI-324</v>
      </c>
      <c r="B8">
        <v>324</v>
      </c>
      <c r="C8" t="s">
        <v>7</v>
      </c>
      <c r="D8">
        <v>247</v>
      </c>
      <c r="E8">
        <v>0</v>
      </c>
      <c r="F8" t="str">
        <f>HYPERLINK(".\links\cds\TI-324-cds.txt","TI-324")</f>
        <v>TI-324</v>
      </c>
      <c r="G8">
        <v>744</v>
      </c>
      <c r="H8"/>
      <c r="I8" t="s">
        <v>29</v>
      </c>
      <c r="J8" t="s">
        <v>6</v>
      </c>
      <c r="K8">
        <v>3</v>
      </c>
      <c r="L8">
        <v>0</v>
      </c>
      <c r="M8">
        <f t="shared" si="4"/>
        <v>3</v>
      </c>
      <c r="N8">
        <f t="shared" si="5"/>
        <v>3</v>
      </c>
      <c r="O8" t="s">
        <v>1222</v>
      </c>
      <c r="P8" t="s">
        <v>1175</v>
      </c>
      <c r="Q8" t="str">
        <f>HYPERLINK(".\links\NR-LIGHT\TI-324-NR-LIGHT.txt","NR-LIGHT")</f>
        <v>NR-LIGHT</v>
      </c>
      <c r="R8">
        <v>0</v>
      </c>
      <c r="S8">
        <v>93.9</v>
      </c>
      <c r="T8" t="str">
        <f>HYPERLINK(".\links\NR-LIGHT\TI-324-NR-LIGHT.txt","multifunctional chaperone")</f>
        <v>multifunctional chaperone</v>
      </c>
      <c r="U8" t="str">
        <f>HYPERLINK("http://www.ncbi.nlm.nih.gov/sutils/blink.cgi?pid=263173438","1E-130")</f>
        <v>1E-130</v>
      </c>
      <c r="V8" t="str">
        <f>HYPERLINK("http://www.ncbi.nlm.nih.gov/protein/263173438","gi|263173438")</f>
        <v>gi|263173438</v>
      </c>
      <c r="W8">
        <v>468</v>
      </c>
      <c r="X8">
        <v>231</v>
      </c>
      <c r="Y8">
        <v>247</v>
      </c>
      <c r="Z8">
        <v>98</v>
      </c>
      <c r="AA8">
        <v>94</v>
      </c>
      <c r="AB8">
        <v>4</v>
      </c>
      <c r="AC8">
        <v>0</v>
      </c>
      <c r="AD8">
        <v>1</v>
      </c>
      <c r="AE8">
        <v>1</v>
      </c>
      <c r="AF8">
        <v>1</v>
      </c>
      <c r="AG8"/>
      <c r="AH8" t="s">
        <v>13</v>
      </c>
      <c r="AI8" t="s">
        <v>51</v>
      </c>
      <c r="AJ8" t="s">
        <v>280</v>
      </c>
      <c r="AK8" t="str">
        <f>HYPERLINK(".\links\SWISSP\TI-324-SWISSP.txt","14-3-3 protein zeta OS=Bombyx mori GN=14-3-3zeta PE=2 SV=2")</f>
        <v>14-3-3 protein zeta OS=Bombyx mori GN=14-3-3zeta PE=2 SV=2</v>
      </c>
      <c r="AL8" t="str">
        <f>HYPERLINK("http://www.uniprot.org/uniprot/Q2F637","1E-124")</f>
        <v>1E-124</v>
      </c>
      <c r="AM8" t="s">
        <v>196</v>
      </c>
      <c r="AN8">
        <v>444</v>
      </c>
      <c r="AO8">
        <v>231</v>
      </c>
      <c r="AP8">
        <v>247</v>
      </c>
      <c r="AQ8">
        <v>92</v>
      </c>
      <c r="AR8">
        <v>94</v>
      </c>
      <c r="AS8">
        <v>17</v>
      </c>
      <c r="AT8">
        <v>0</v>
      </c>
      <c r="AU8">
        <v>1</v>
      </c>
      <c r="AV8">
        <v>1</v>
      </c>
      <c r="AW8">
        <v>1</v>
      </c>
      <c r="AX8" t="s">
        <v>54</v>
      </c>
      <c r="AY8" t="str">
        <f>HYPERLINK(".\links\PREV-RHOD-PEP\TI-324-PREV-RHOD-PEP.txt","Contig17897_7")</f>
        <v>Contig17897_7</v>
      </c>
      <c r="AZ8" s="3">
        <v>1E-134</v>
      </c>
      <c r="BA8" t="s">
        <v>1112</v>
      </c>
      <c r="BB8">
        <v>472</v>
      </c>
      <c r="BC8">
        <v>231</v>
      </c>
      <c r="BD8">
        <v>247</v>
      </c>
      <c r="BE8">
        <v>99</v>
      </c>
      <c r="BF8">
        <v>94</v>
      </c>
      <c r="BG8">
        <v>2</v>
      </c>
      <c r="BH8">
        <v>0</v>
      </c>
      <c r="BI8">
        <v>1</v>
      </c>
      <c r="BJ8">
        <v>1</v>
      </c>
      <c r="BK8">
        <v>1</v>
      </c>
      <c r="BL8" t="s">
        <v>805</v>
      </c>
      <c r="BM8">
        <f>HYPERLINK(".\links\GO\TI-324-GO.txt",0)</f>
        <v>0</v>
      </c>
      <c r="BN8" t="s">
        <v>806</v>
      </c>
      <c r="BO8" t="s">
        <v>463</v>
      </c>
      <c r="BP8" t="s">
        <v>807</v>
      </c>
      <c r="BQ8" t="s">
        <v>808</v>
      </c>
      <c r="BR8" s="3">
        <v>1.0000000000000001E-122</v>
      </c>
      <c r="BS8" t="s">
        <v>447</v>
      </c>
      <c r="BT8" t="s">
        <v>323</v>
      </c>
      <c r="BU8" t="s">
        <v>334</v>
      </c>
      <c r="BV8" t="s">
        <v>448</v>
      </c>
      <c r="BW8" s="3">
        <v>1.0000000000000001E-122</v>
      </c>
      <c r="BX8" t="s">
        <v>809</v>
      </c>
      <c r="BY8" t="s">
        <v>463</v>
      </c>
      <c r="BZ8" t="s">
        <v>807</v>
      </c>
      <c r="CA8" t="s">
        <v>810</v>
      </c>
      <c r="CB8" s="3">
        <v>1.0000000000000001E-122</v>
      </c>
      <c r="CC8" t="s">
        <v>8</v>
      </c>
      <c r="CD8"/>
      <c r="CE8"/>
      <c r="CF8" t="s">
        <v>8</v>
      </c>
      <c r="CG8"/>
      <c r="CH8"/>
      <c r="CI8" t="s">
        <v>8</v>
      </c>
      <c r="CJ8"/>
      <c r="CK8" t="s">
        <v>8</v>
      </c>
      <c r="CL8"/>
      <c r="CM8" t="s">
        <v>8</v>
      </c>
      <c r="CN8"/>
      <c r="CO8" t="s">
        <v>8</v>
      </c>
      <c r="CP8"/>
      <c r="CQ8"/>
      <c r="CR8"/>
      <c r="CS8"/>
      <c r="CT8"/>
      <c r="CU8"/>
      <c r="CV8"/>
      <c r="CW8"/>
      <c r="CX8"/>
      <c r="CY8"/>
      <c r="CZ8"/>
      <c r="DA8"/>
      <c r="DB8"/>
      <c r="DC8" t="s">
        <v>8</v>
      </c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6" customFormat="1">
      <c r="A9" t="str">
        <f>HYPERLINK(".\links\pep\TI-423-pep.txt","TI-423")</f>
        <v>TI-423</v>
      </c>
      <c r="B9">
        <v>423</v>
      </c>
      <c r="C9" t="s">
        <v>7</v>
      </c>
      <c r="D9">
        <v>219</v>
      </c>
      <c r="E9">
        <v>0</v>
      </c>
      <c r="F9" t="str">
        <f>HYPERLINK(".\links\cds\TI-423-cds.txt","TI-423")</f>
        <v>TI-423</v>
      </c>
      <c r="G9">
        <v>656</v>
      </c>
      <c r="H9"/>
      <c r="I9" t="s">
        <v>29</v>
      </c>
      <c r="J9" t="s">
        <v>8</v>
      </c>
      <c r="K9">
        <v>3</v>
      </c>
      <c r="L9">
        <v>0</v>
      </c>
      <c r="M9">
        <f t="shared" si="4"/>
        <v>3</v>
      </c>
      <c r="N9">
        <f t="shared" si="5"/>
        <v>3</v>
      </c>
      <c r="O9" t="s">
        <v>1174</v>
      </c>
      <c r="P9" t="s">
        <v>1175</v>
      </c>
      <c r="Q9" t="str">
        <f>HYPERLINK(".\links\NR-LIGHT\TI-423-NR-LIGHT.txt","NR-LIGHT")</f>
        <v>NR-LIGHT</v>
      </c>
      <c r="R9" s="3">
        <v>1E-51</v>
      </c>
      <c r="S9">
        <v>56.1</v>
      </c>
      <c r="T9" t="str">
        <f>HYPERLINK(".\links\NR-LIGHT\TI-423-NR-LIGHT.txt","cathepsin D")</f>
        <v>cathepsin D</v>
      </c>
      <c r="U9" t="str">
        <f>HYPERLINK("http://www.ncbi.nlm.nih.gov/sutils/blink.cgi?pid=301030231","1E-051")</f>
        <v>1E-051</v>
      </c>
      <c r="V9" t="str">
        <f>HYPERLINK("http://www.ncbi.nlm.nih.gov/protein/301030231","gi|301030231")</f>
        <v>gi|301030231</v>
      </c>
      <c r="W9">
        <v>204</v>
      </c>
      <c r="X9">
        <v>215</v>
      </c>
      <c r="Y9">
        <v>390</v>
      </c>
      <c r="Z9">
        <v>47</v>
      </c>
      <c r="AA9">
        <v>55</v>
      </c>
      <c r="AB9">
        <v>115</v>
      </c>
      <c r="AC9">
        <v>6</v>
      </c>
      <c r="AD9">
        <v>3</v>
      </c>
      <c r="AE9">
        <v>2</v>
      </c>
      <c r="AF9">
        <v>1</v>
      </c>
      <c r="AG9"/>
      <c r="AH9" t="s">
        <v>13</v>
      </c>
      <c r="AI9" t="s">
        <v>51</v>
      </c>
      <c r="AJ9" t="s">
        <v>273</v>
      </c>
      <c r="AK9" t="str">
        <f>HYPERLINK(".\links\SWISSP\TI-423-SWISSP.txt","Lysosomal aspartic protease OS=Aedes aegypti GN=AAEL006169 PE=1 SV=2")</f>
        <v>Lysosomal aspartic protease OS=Aedes aegypti GN=AAEL006169 PE=1 SV=2</v>
      </c>
      <c r="AL9" t="str">
        <f>HYPERLINK("http://www.uniprot.org/uniprot/Q03168","2E-046")</f>
        <v>2E-046</v>
      </c>
      <c r="AM9" t="s">
        <v>103</v>
      </c>
      <c r="AN9">
        <v>185</v>
      </c>
      <c r="AO9">
        <v>195</v>
      </c>
      <c r="AP9">
        <v>387</v>
      </c>
      <c r="AQ9">
        <v>49</v>
      </c>
      <c r="AR9">
        <v>51</v>
      </c>
      <c r="AS9">
        <v>100</v>
      </c>
      <c r="AT9">
        <v>4</v>
      </c>
      <c r="AU9">
        <v>21</v>
      </c>
      <c r="AV9">
        <v>21</v>
      </c>
      <c r="AW9">
        <v>1</v>
      </c>
      <c r="AX9" t="s">
        <v>76</v>
      </c>
      <c r="AY9" t="str">
        <f>HYPERLINK(".\links\PREV-RHOD-PEP\TI-423-PREV-RHOD-PEP.txt","Contig808_2")</f>
        <v>Contig808_2</v>
      </c>
      <c r="AZ9" s="3">
        <v>7.9999999999999994E-76</v>
      </c>
      <c r="BA9" t="s">
        <v>1136</v>
      </c>
      <c r="BB9">
        <v>279</v>
      </c>
      <c r="BC9">
        <v>486</v>
      </c>
      <c r="BD9">
        <v>628</v>
      </c>
      <c r="BE9">
        <v>60</v>
      </c>
      <c r="BF9">
        <v>78</v>
      </c>
      <c r="BG9">
        <v>87</v>
      </c>
      <c r="BH9">
        <v>4</v>
      </c>
      <c r="BI9">
        <v>1</v>
      </c>
      <c r="BJ9">
        <v>1</v>
      </c>
      <c r="BK9">
        <v>2</v>
      </c>
      <c r="BL9" t="s">
        <v>492</v>
      </c>
      <c r="BM9">
        <f>HYPERLINK(".\links\GO\TI-423-GO.txt",1E-47)</f>
        <v>9.9999999999999997E-48</v>
      </c>
      <c r="BN9" t="s">
        <v>455</v>
      </c>
      <c r="BO9" t="s">
        <v>345</v>
      </c>
      <c r="BP9" t="s">
        <v>349</v>
      </c>
      <c r="BQ9" t="s">
        <v>456</v>
      </c>
      <c r="BR9" s="3">
        <v>8E-41</v>
      </c>
      <c r="BS9" t="s">
        <v>493</v>
      </c>
      <c r="BT9" t="s">
        <v>323</v>
      </c>
      <c r="BU9" t="s">
        <v>334</v>
      </c>
      <c r="BV9" t="s">
        <v>494</v>
      </c>
      <c r="BW9" s="3">
        <v>8E-41</v>
      </c>
      <c r="BX9" t="s">
        <v>495</v>
      </c>
      <c r="BY9" t="s">
        <v>345</v>
      </c>
      <c r="BZ9" t="s">
        <v>349</v>
      </c>
      <c r="CA9" t="s">
        <v>496</v>
      </c>
      <c r="CB9" s="3">
        <v>8E-41</v>
      </c>
      <c r="CC9" t="s">
        <v>8</v>
      </c>
      <c r="CD9"/>
      <c r="CE9"/>
      <c r="CF9" t="s">
        <v>8</v>
      </c>
      <c r="CG9"/>
      <c r="CH9"/>
      <c r="CI9" t="s">
        <v>8</v>
      </c>
      <c r="CJ9"/>
      <c r="CK9" t="s">
        <v>8</v>
      </c>
      <c r="CL9"/>
      <c r="CM9" t="s">
        <v>8</v>
      </c>
      <c r="CN9"/>
      <c r="CO9" t="s">
        <v>8</v>
      </c>
      <c r="CP9"/>
      <c r="CQ9"/>
      <c r="CR9"/>
      <c r="CS9"/>
      <c r="CT9"/>
      <c r="CU9"/>
      <c r="CV9"/>
      <c r="CW9"/>
      <c r="CX9"/>
      <c r="CY9"/>
      <c r="CZ9"/>
      <c r="DA9"/>
      <c r="DB9"/>
      <c r="DC9" t="s">
        <v>8</v>
      </c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6" customFormat="1">
      <c r="A10" t="str">
        <f>HYPERLINK(".\links\pep\TI-458-pep.txt","TI-458")</f>
        <v>TI-458</v>
      </c>
      <c r="B10">
        <v>458</v>
      </c>
      <c r="C10" t="s">
        <v>7</v>
      </c>
      <c r="D10">
        <v>376</v>
      </c>
      <c r="E10">
        <v>0</v>
      </c>
      <c r="F10" t="str">
        <f>HYPERLINK(".\links\cds\TI-458-cds.txt","TI-458")</f>
        <v>TI-458</v>
      </c>
      <c r="G10">
        <v>1131</v>
      </c>
      <c r="H10"/>
      <c r="I10" t="s">
        <v>29</v>
      </c>
      <c r="J10" t="s">
        <v>6</v>
      </c>
      <c r="K10">
        <v>7</v>
      </c>
      <c r="L10">
        <v>3</v>
      </c>
      <c r="M10">
        <f t="shared" ref="M10:M18" si="6">K10-L10</f>
        <v>4</v>
      </c>
      <c r="N10">
        <f t="shared" ref="N10:N18" si="7">ABS(K10-L10)</f>
        <v>4</v>
      </c>
      <c r="O10" t="s">
        <v>1338</v>
      </c>
      <c r="P10" t="s">
        <v>1181</v>
      </c>
      <c r="Q10" t="str">
        <f>HYPERLINK(".\links\NR-LIGHT\TI-458-NR-LIGHT.txt","NR-LIGHT")</f>
        <v>NR-LIGHT</v>
      </c>
      <c r="R10">
        <v>0</v>
      </c>
      <c r="S10">
        <v>100</v>
      </c>
      <c r="T10" t="str">
        <f>HYPERLINK(".\links\NR-LIGHT\TI-458-NR-LIGHT.txt","actin 5C, isoform B")</f>
        <v>actin 5C, isoform B</v>
      </c>
      <c r="U10" t="str">
        <f>HYPERLINK("http://www.ncbi.nlm.nih.gov/sutils/blink.cgi?pid=17530805","0.0")</f>
        <v>0.0</v>
      </c>
      <c r="V10" t="str">
        <f>HYPERLINK("http://www.ncbi.nlm.nih.gov/protein/17530805","gi|17530805")</f>
        <v>gi|17530805</v>
      </c>
      <c r="W10">
        <v>784</v>
      </c>
      <c r="X10">
        <v>375</v>
      </c>
      <c r="Y10">
        <v>376</v>
      </c>
      <c r="Z10">
        <v>99</v>
      </c>
      <c r="AA10">
        <v>100</v>
      </c>
      <c r="AB10">
        <v>1</v>
      </c>
      <c r="AC10">
        <v>0</v>
      </c>
      <c r="AD10">
        <v>1</v>
      </c>
      <c r="AE10">
        <v>1</v>
      </c>
      <c r="AF10">
        <v>1</v>
      </c>
      <c r="AG10"/>
      <c r="AH10" t="s">
        <v>13</v>
      </c>
      <c r="AI10" t="s">
        <v>51</v>
      </c>
      <c r="AJ10" t="s">
        <v>275</v>
      </c>
      <c r="AK10" t="str">
        <f>HYPERLINK(".\links\SWISSP\TI-458-SWISSP.txt","Actin-5C OS=Anopheles gambiae GN=Act5C PE=2 SV=1")</f>
        <v>Actin-5C OS=Anopheles gambiae GN=Act5C PE=2 SV=1</v>
      </c>
      <c r="AL10" t="str">
        <f>HYPERLINK("http://www.uniprot.org/uniprot/P84185","0.0")</f>
        <v>0.0</v>
      </c>
      <c r="AM10" t="s">
        <v>237</v>
      </c>
      <c r="AN10">
        <v>784</v>
      </c>
      <c r="AO10">
        <v>375</v>
      </c>
      <c r="AP10">
        <v>376</v>
      </c>
      <c r="AQ10">
        <v>99</v>
      </c>
      <c r="AR10">
        <v>100</v>
      </c>
      <c r="AS10">
        <v>1</v>
      </c>
      <c r="AT10">
        <v>0</v>
      </c>
      <c r="AU10">
        <v>1</v>
      </c>
      <c r="AV10">
        <v>1</v>
      </c>
      <c r="AW10">
        <v>1</v>
      </c>
      <c r="AX10" t="s">
        <v>110</v>
      </c>
      <c r="AY10" t="str">
        <f>HYPERLINK(".\links\PREV-RHOD-PEP\TI-458-PREV-RHOD-PEP.txt","Contig16250_1")</f>
        <v>Contig16250_1</v>
      </c>
      <c r="AZ10">
        <v>0</v>
      </c>
      <c r="BA10" t="s">
        <v>1145</v>
      </c>
      <c r="BB10">
        <v>771</v>
      </c>
      <c r="BC10">
        <v>375</v>
      </c>
      <c r="BD10">
        <v>376</v>
      </c>
      <c r="BE10">
        <v>97</v>
      </c>
      <c r="BF10">
        <v>100</v>
      </c>
      <c r="BG10">
        <v>11</v>
      </c>
      <c r="BH10">
        <v>0</v>
      </c>
      <c r="BI10">
        <v>1</v>
      </c>
      <c r="BJ10">
        <v>1</v>
      </c>
      <c r="BK10">
        <v>1</v>
      </c>
      <c r="BL10" t="s">
        <v>911</v>
      </c>
      <c r="BM10">
        <f>HYPERLINK(".\links\GO\TI-458-GO.txt",0)</f>
        <v>0</v>
      </c>
      <c r="BN10" t="s">
        <v>912</v>
      </c>
      <c r="BO10" t="s">
        <v>330</v>
      </c>
      <c r="BP10" t="s">
        <v>913</v>
      </c>
      <c r="BQ10" t="s">
        <v>914</v>
      </c>
      <c r="BR10">
        <v>0</v>
      </c>
      <c r="BS10" t="s">
        <v>915</v>
      </c>
      <c r="BT10" t="s">
        <v>323</v>
      </c>
      <c r="BU10" t="s">
        <v>551</v>
      </c>
      <c r="BV10" t="s">
        <v>916</v>
      </c>
      <c r="BW10">
        <v>0</v>
      </c>
      <c r="BX10" t="s">
        <v>917</v>
      </c>
      <c r="BY10" t="s">
        <v>330</v>
      </c>
      <c r="BZ10" t="s">
        <v>913</v>
      </c>
      <c r="CA10" t="s">
        <v>918</v>
      </c>
      <c r="CB10">
        <v>0</v>
      </c>
      <c r="CC10" t="s">
        <v>8</v>
      </c>
      <c r="CD10"/>
      <c r="CE10"/>
      <c r="CF10" t="s">
        <v>8</v>
      </c>
      <c r="CG10"/>
      <c r="CH10"/>
      <c r="CI10" t="s">
        <v>8</v>
      </c>
      <c r="CJ10"/>
      <c r="CK10" t="s">
        <v>8</v>
      </c>
      <c r="CL10"/>
      <c r="CM10" t="s">
        <v>8</v>
      </c>
      <c r="CN10"/>
      <c r="CO10" t="s">
        <v>8</v>
      </c>
      <c r="CP10"/>
      <c r="CQ10"/>
      <c r="CR10"/>
      <c r="CS10"/>
      <c r="CT10"/>
      <c r="CU10"/>
      <c r="CV10"/>
      <c r="CW10"/>
      <c r="CX10"/>
      <c r="CY10"/>
      <c r="CZ10"/>
      <c r="DA10"/>
      <c r="DB10"/>
      <c r="DC10" t="s">
        <v>8</v>
      </c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6" customFormat="1">
      <c r="A11" t="str">
        <f>HYPERLINK(".\links\pep\TI-474-pep.txt","TI-474")</f>
        <v>TI-474</v>
      </c>
      <c r="B11">
        <v>474</v>
      </c>
      <c r="C11" t="s">
        <v>10</v>
      </c>
      <c r="D11">
        <v>206</v>
      </c>
      <c r="E11">
        <v>0</v>
      </c>
      <c r="F11" t="str">
        <f>HYPERLINK(".\links\cds\TI-474-cds.txt","TI-474")</f>
        <v>TI-474</v>
      </c>
      <c r="G11">
        <v>621</v>
      </c>
      <c r="H11"/>
      <c r="I11" t="s">
        <v>8</v>
      </c>
      <c r="J11" t="s">
        <v>6</v>
      </c>
      <c r="K11">
        <v>4</v>
      </c>
      <c r="L11">
        <v>0</v>
      </c>
      <c r="M11">
        <f t="shared" si="6"/>
        <v>4</v>
      </c>
      <c r="N11">
        <f t="shared" si="7"/>
        <v>4</v>
      </c>
      <c r="O11" t="s">
        <v>1341</v>
      </c>
      <c r="P11" t="s">
        <v>1181</v>
      </c>
      <c r="Q11" t="str">
        <f>HYPERLINK(".\links\GO\TI-474-GO.txt","GO")</f>
        <v>GO</v>
      </c>
      <c r="R11" s="3">
        <v>2.0000000000000002E-30</v>
      </c>
      <c r="S11">
        <v>96</v>
      </c>
      <c r="T11" t="str">
        <f>HYPERLINK(".\links\NR-LIGHT\TI-474-NR-LIGHT.txt","protein lethal, putative")</f>
        <v>protein lethal, putative</v>
      </c>
      <c r="U11" t="str">
        <f>HYPERLINK("http://www.ncbi.nlm.nih.gov/sutils/blink.cgi?pid=242005722","2E-051")</f>
        <v>2E-051</v>
      </c>
      <c r="V11" t="str">
        <f>HYPERLINK("http://www.ncbi.nlm.nih.gov/protein/242005722","gi|242005722")</f>
        <v>gi|242005722</v>
      </c>
      <c r="W11">
        <v>204</v>
      </c>
      <c r="X11">
        <v>174</v>
      </c>
      <c r="Y11">
        <v>211</v>
      </c>
      <c r="Z11">
        <v>56</v>
      </c>
      <c r="AA11">
        <v>83</v>
      </c>
      <c r="AB11">
        <v>78</v>
      </c>
      <c r="AC11">
        <v>4</v>
      </c>
      <c r="AD11">
        <v>23</v>
      </c>
      <c r="AE11">
        <v>21</v>
      </c>
      <c r="AF11">
        <v>1</v>
      </c>
      <c r="AG11"/>
      <c r="AH11" t="s">
        <v>13</v>
      </c>
      <c r="AI11" t="s">
        <v>51</v>
      </c>
      <c r="AJ11" t="s">
        <v>268</v>
      </c>
      <c r="AK11" t="str">
        <f>HYPERLINK(".\links\SWISSP\TI-474-SWISSP.txt","Protein lethal(2)essential for life OS=Drosophila melanogaster GN=l(2)efl PE=1")</f>
        <v>Protein lethal(2)essential for life OS=Drosophila melanogaster GN=l(2)efl PE=1</v>
      </c>
      <c r="AL11" t="str">
        <f>HYPERLINK("http://www.uniprot.org/uniprot/P82147","9E-038")</f>
        <v>9E-038</v>
      </c>
      <c r="AM11" t="s">
        <v>241</v>
      </c>
      <c r="AN11">
        <v>156</v>
      </c>
      <c r="AO11">
        <v>184</v>
      </c>
      <c r="AP11">
        <v>187</v>
      </c>
      <c r="AQ11">
        <v>43</v>
      </c>
      <c r="AR11">
        <v>99</v>
      </c>
      <c r="AS11">
        <v>105</v>
      </c>
      <c r="AT11">
        <v>6</v>
      </c>
      <c r="AU11">
        <v>1</v>
      </c>
      <c r="AV11">
        <v>21</v>
      </c>
      <c r="AW11">
        <v>1</v>
      </c>
      <c r="AX11" t="s">
        <v>52</v>
      </c>
      <c r="AY11" t="str">
        <f>HYPERLINK(".\links\PREV-RHOD-PEP\TI-474-PREV-RHOD-PEP.txt","Contig3102_2")</f>
        <v>Contig3102_2</v>
      </c>
      <c r="AZ11" s="3">
        <v>1E-99</v>
      </c>
      <c r="BA11" t="s">
        <v>1150</v>
      </c>
      <c r="BB11">
        <v>358</v>
      </c>
      <c r="BC11">
        <v>184</v>
      </c>
      <c r="BD11">
        <v>185</v>
      </c>
      <c r="BE11">
        <v>91</v>
      </c>
      <c r="BF11">
        <v>100</v>
      </c>
      <c r="BG11">
        <v>16</v>
      </c>
      <c r="BH11">
        <v>0</v>
      </c>
      <c r="BI11">
        <v>1</v>
      </c>
      <c r="BJ11">
        <v>21</v>
      </c>
      <c r="BK11">
        <v>1</v>
      </c>
      <c r="BL11" t="s">
        <v>939</v>
      </c>
      <c r="BM11">
        <f>HYPERLINK(".\links\GO\TI-474-GO.txt",3E-38)</f>
        <v>2.9999999999999999E-38</v>
      </c>
      <c r="BN11" t="s">
        <v>940</v>
      </c>
      <c r="BO11" t="s">
        <v>330</v>
      </c>
      <c r="BP11" t="s">
        <v>941</v>
      </c>
      <c r="BQ11" t="s">
        <v>942</v>
      </c>
      <c r="BR11" s="3">
        <v>2.0000000000000002E-30</v>
      </c>
      <c r="BS11" t="s">
        <v>943</v>
      </c>
      <c r="BT11" t="s">
        <v>323</v>
      </c>
      <c r="BU11" t="s">
        <v>390</v>
      </c>
      <c r="BV11" t="s">
        <v>944</v>
      </c>
      <c r="BW11" s="3">
        <v>2.0000000000000002E-30</v>
      </c>
      <c r="BX11" t="s">
        <v>945</v>
      </c>
      <c r="BY11" t="s">
        <v>330</v>
      </c>
      <c r="BZ11" t="s">
        <v>941</v>
      </c>
      <c r="CA11" t="s">
        <v>946</v>
      </c>
      <c r="CB11" s="3">
        <v>2.0000000000000002E-30</v>
      </c>
      <c r="CC11" t="s">
        <v>8</v>
      </c>
      <c r="CD11"/>
      <c r="CE11"/>
      <c r="CF11" t="s">
        <v>8</v>
      </c>
      <c r="CG11"/>
      <c r="CH11"/>
      <c r="CI11" t="s">
        <v>8</v>
      </c>
      <c r="CJ11"/>
      <c r="CK11" t="s">
        <v>8</v>
      </c>
      <c r="CL11"/>
      <c r="CM11" t="s">
        <v>8</v>
      </c>
      <c r="CN11"/>
      <c r="CO11" t="s">
        <v>8</v>
      </c>
      <c r="CP11"/>
      <c r="CQ11"/>
      <c r="CR11"/>
      <c r="CS11"/>
      <c r="CT11"/>
      <c r="CU11"/>
      <c r="CV11"/>
      <c r="CW11"/>
      <c r="CX11"/>
      <c r="CY11"/>
      <c r="CZ11"/>
      <c r="DA11"/>
      <c r="DB11"/>
      <c r="DC11" t="s">
        <v>8</v>
      </c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6" customFormat="1">
      <c r="A12" t="str">
        <f>HYPERLINK(".\links\pep\TI-494-pep.txt","TI-494")</f>
        <v>TI-494</v>
      </c>
      <c r="B12">
        <v>494</v>
      </c>
      <c r="C12" t="s">
        <v>7</v>
      </c>
      <c r="D12">
        <v>143</v>
      </c>
      <c r="E12">
        <v>0</v>
      </c>
      <c r="F12" t="str">
        <f>HYPERLINK(".\links\cds\TI-494-cds.txt","TI-494")</f>
        <v>TI-494</v>
      </c>
      <c r="G12">
        <v>432</v>
      </c>
      <c r="H12"/>
      <c r="I12" t="s">
        <v>29</v>
      </c>
      <c r="J12" t="s">
        <v>6</v>
      </c>
      <c r="K12">
        <v>4</v>
      </c>
      <c r="L12">
        <v>1</v>
      </c>
      <c r="M12">
        <f t="shared" si="6"/>
        <v>3</v>
      </c>
      <c r="N12">
        <f t="shared" si="7"/>
        <v>3</v>
      </c>
      <c r="O12" t="s">
        <v>1236</v>
      </c>
      <c r="P12" t="s">
        <v>1169</v>
      </c>
      <c r="Q12" t="str">
        <f>HYPERLINK(".\links\SWISSP\TI-494-SWISSP.txt","SWISSP")</f>
        <v>SWISSP</v>
      </c>
      <c r="R12" s="3">
        <v>2.9999999999999999E-75</v>
      </c>
      <c r="S12">
        <v>100</v>
      </c>
      <c r="T12" t="str">
        <f>HYPERLINK(".\links\NR-LIGHT\TI-494-NR-LIGHT.txt","40S ribosomal protein S23, putative")</f>
        <v>40S ribosomal protein S23, putative</v>
      </c>
      <c r="U12" t="str">
        <f>HYPERLINK("http://www.ncbi.nlm.nih.gov/sutils/blink.cgi?pid=242025351","4E-075")</f>
        <v>4E-075</v>
      </c>
      <c r="V12" t="str">
        <f>HYPERLINK("http://www.ncbi.nlm.nih.gov/protein/242025351","gi|242025351")</f>
        <v>gi|242025351</v>
      </c>
      <c r="W12">
        <v>281</v>
      </c>
      <c r="X12">
        <v>142</v>
      </c>
      <c r="Y12">
        <v>143</v>
      </c>
      <c r="Z12">
        <v>96</v>
      </c>
      <c r="AA12">
        <v>100</v>
      </c>
      <c r="AB12">
        <v>5</v>
      </c>
      <c r="AC12">
        <v>0</v>
      </c>
      <c r="AD12">
        <v>1</v>
      </c>
      <c r="AE12">
        <v>1</v>
      </c>
      <c r="AF12">
        <v>1</v>
      </c>
      <c r="AG12"/>
      <c r="AH12" t="s">
        <v>13</v>
      </c>
      <c r="AI12" t="s">
        <v>51</v>
      </c>
      <c r="AJ12" t="s">
        <v>268</v>
      </c>
      <c r="AK12" t="str">
        <f>HYPERLINK(".\links\SWISSP\TI-494-SWISSP.txt","40S ribosomal protein S23 OS=Spodoptera frugiperda GN=RpS23 PE=2 SV=1")</f>
        <v>40S ribosomal protein S23 OS=Spodoptera frugiperda GN=RpS23 PE=2 SV=1</v>
      </c>
      <c r="AL12" t="str">
        <f>HYPERLINK("http://www.uniprot.org/uniprot/Q962Q7","3E-075")</f>
        <v>3E-075</v>
      </c>
      <c r="AM12" t="s">
        <v>243</v>
      </c>
      <c r="AN12">
        <v>279</v>
      </c>
      <c r="AO12">
        <v>142</v>
      </c>
      <c r="AP12">
        <v>143</v>
      </c>
      <c r="AQ12">
        <v>95</v>
      </c>
      <c r="AR12">
        <v>100</v>
      </c>
      <c r="AS12">
        <v>6</v>
      </c>
      <c r="AT12">
        <v>0</v>
      </c>
      <c r="AU12">
        <v>1</v>
      </c>
      <c r="AV12">
        <v>1</v>
      </c>
      <c r="AW12">
        <v>1</v>
      </c>
      <c r="AX12" t="s">
        <v>58</v>
      </c>
      <c r="AY12" t="str">
        <f>HYPERLINK(".\links\PREV-RHOD-PEP\TI-494-PREV-RHOD-PEP.txt","Contig17967_29")</f>
        <v>Contig17967_29</v>
      </c>
      <c r="AZ12" s="3">
        <v>1.9999999999999999E-77</v>
      </c>
      <c r="BA12" t="s">
        <v>1151</v>
      </c>
      <c r="BB12">
        <v>283</v>
      </c>
      <c r="BC12">
        <v>142</v>
      </c>
      <c r="BD12">
        <v>143</v>
      </c>
      <c r="BE12">
        <v>97</v>
      </c>
      <c r="BF12">
        <v>100</v>
      </c>
      <c r="BG12">
        <v>3</v>
      </c>
      <c r="BH12">
        <v>0</v>
      </c>
      <c r="BI12">
        <v>1</v>
      </c>
      <c r="BJ12">
        <v>1</v>
      </c>
      <c r="BK12">
        <v>1</v>
      </c>
      <c r="BL12" t="s">
        <v>947</v>
      </c>
      <c r="BM12">
        <f>HYPERLINK(".\links\GO\TI-494-GO.txt",5E-75)</f>
        <v>4.9999999999999998E-75</v>
      </c>
      <c r="BN12" t="s">
        <v>329</v>
      </c>
      <c r="BO12" t="s">
        <v>330</v>
      </c>
      <c r="BP12" t="s">
        <v>331</v>
      </c>
      <c r="BQ12" t="s">
        <v>332</v>
      </c>
      <c r="BR12" s="3">
        <v>4.9999999999999998E-75</v>
      </c>
      <c r="BS12" t="s">
        <v>739</v>
      </c>
      <c r="BT12" t="s">
        <v>323</v>
      </c>
      <c r="BU12" t="s">
        <v>334</v>
      </c>
      <c r="BV12" t="s">
        <v>740</v>
      </c>
      <c r="BW12" s="3">
        <v>4.9999999999999998E-75</v>
      </c>
      <c r="BX12" t="s">
        <v>336</v>
      </c>
      <c r="BY12" t="s">
        <v>330</v>
      </c>
      <c r="BZ12" t="s">
        <v>331</v>
      </c>
      <c r="CA12" t="s">
        <v>337</v>
      </c>
      <c r="CB12" s="3">
        <v>4.9999999999999998E-75</v>
      </c>
      <c r="CC12" t="s">
        <v>8</v>
      </c>
      <c r="CD12"/>
      <c r="CE12"/>
      <c r="CF12" t="s">
        <v>8</v>
      </c>
      <c r="CG12"/>
      <c r="CH12"/>
      <c r="CI12" t="s">
        <v>8</v>
      </c>
      <c r="CJ12"/>
      <c r="CK12" t="s">
        <v>8</v>
      </c>
      <c r="CL12"/>
      <c r="CM12" t="s">
        <v>8</v>
      </c>
      <c r="CN12"/>
      <c r="CO12" t="s">
        <v>8</v>
      </c>
      <c r="CP12"/>
      <c r="CQ12"/>
      <c r="CR12"/>
      <c r="CS12"/>
      <c r="CT12"/>
      <c r="CU12"/>
      <c r="CV12"/>
      <c r="CW12"/>
      <c r="CX12"/>
      <c r="CY12"/>
      <c r="CZ12"/>
      <c r="DA12"/>
      <c r="DB12"/>
      <c r="DC12" t="s">
        <v>8</v>
      </c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s="6" customFormat="1">
      <c r="A13" s="6" t="str">
        <f>HYPERLINK(".\links\pep\TI-530-pep.txt","TI-530")</f>
        <v>TI-530</v>
      </c>
      <c r="B13" s="6">
        <v>530</v>
      </c>
      <c r="C13" s="6" t="s">
        <v>7</v>
      </c>
      <c r="D13" s="6">
        <v>240</v>
      </c>
      <c r="E13" s="6">
        <v>0</v>
      </c>
      <c r="F13" s="6" t="str">
        <f>HYPERLINK(".\links\cds\TI-530-cds.txt","TI-530")</f>
        <v>TI-530</v>
      </c>
      <c r="G13" s="6">
        <v>723</v>
      </c>
      <c r="I13" s="6" t="s">
        <v>29</v>
      </c>
      <c r="J13" s="6" t="s">
        <v>6</v>
      </c>
      <c r="K13" s="6">
        <v>4</v>
      </c>
      <c r="L13" s="6">
        <v>1</v>
      </c>
      <c r="M13" s="6">
        <f t="shared" si="6"/>
        <v>3</v>
      </c>
      <c r="N13" s="6">
        <f t="shared" si="7"/>
        <v>3</v>
      </c>
      <c r="O13" s="6" t="s">
        <v>1170</v>
      </c>
      <c r="P13" s="6" t="s">
        <v>1171</v>
      </c>
      <c r="T13" s="6" t="str">
        <f>HYPERLINK(".\links\NR-LIGHT\TI-530-NR-LIGHT.txt","similar to CG14661 CG14661-PA")</f>
        <v>similar to CG14661 CG14661-PA</v>
      </c>
      <c r="U13" s="6" t="str">
        <f>HYPERLINK("http://www.ncbi.nlm.nih.gov/sutils/blink.cgi?pid=91082781","0.003")</f>
        <v>0.003</v>
      </c>
      <c r="V13" s="6" t="str">
        <f>HYPERLINK("http://www.ncbi.nlm.nih.gov/protein/91082781","gi|91082781")</f>
        <v>gi|91082781</v>
      </c>
      <c r="W13" s="6">
        <v>44.7</v>
      </c>
      <c r="X13" s="6">
        <v>209</v>
      </c>
      <c r="Y13" s="6">
        <v>249</v>
      </c>
      <c r="Z13" s="6">
        <v>21</v>
      </c>
      <c r="AA13" s="6">
        <v>84</v>
      </c>
      <c r="AB13" s="6">
        <v>168</v>
      </c>
      <c r="AC13" s="6">
        <v>13</v>
      </c>
      <c r="AD13" s="6">
        <v>37</v>
      </c>
      <c r="AE13" s="6">
        <v>35</v>
      </c>
      <c r="AF13" s="6">
        <v>1</v>
      </c>
      <c r="AH13" s="6" t="s">
        <v>13</v>
      </c>
      <c r="AI13" s="6" t="s">
        <v>51</v>
      </c>
      <c r="AJ13" s="6" t="s">
        <v>266</v>
      </c>
      <c r="AK13" s="6" t="s">
        <v>8</v>
      </c>
      <c r="AY13" s="6" t="str">
        <f>HYPERLINK(".\links\PREV-RHOD-PEP\TI-530-PREV-RHOD-PEP.txt","Contig17963_39")</f>
        <v>Contig17963_39</v>
      </c>
      <c r="AZ13" s="8">
        <v>4.0000000000000002E-56</v>
      </c>
      <c r="BA13" s="6" t="s">
        <v>1155</v>
      </c>
      <c r="BB13" s="6">
        <v>213</v>
      </c>
      <c r="BC13" s="6">
        <v>133</v>
      </c>
      <c r="BD13" s="6">
        <v>225</v>
      </c>
      <c r="BE13" s="6">
        <v>74</v>
      </c>
      <c r="BF13" s="6">
        <v>60</v>
      </c>
      <c r="BG13" s="6">
        <v>34</v>
      </c>
      <c r="BH13" s="6">
        <v>1</v>
      </c>
      <c r="BI13" s="6">
        <v>1</v>
      </c>
      <c r="BJ13" s="6">
        <v>1</v>
      </c>
      <c r="BK13" s="6">
        <v>1</v>
      </c>
      <c r="BL13" s="6" t="s">
        <v>8</v>
      </c>
      <c r="CC13" s="6" t="s">
        <v>8</v>
      </c>
      <c r="CF13" s="6" t="s">
        <v>8</v>
      </c>
      <c r="CI13" s="6" t="s">
        <v>8</v>
      </c>
      <c r="CK13" s="6" t="s">
        <v>8</v>
      </c>
      <c r="CM13" s="6" t="s">
        <v>8</v>
      </c>
      <c r="CO13" s="6" t="s">
        <v>8</v>
      </c>
      <c r="DC13" s="6" t="s">
        <v>8</v>
      </c>
    </row>
    <row r="14" spans="1:120" s="6" customFormat="1">
      <c r="A14" s="6" t="str">
        <f>HYPERLINK(".\links\pep\TI-538-pep.txt","TI-538")</f>
        <v>TI-538</v>
      </c>
      <c r="B14" s="6">
        <v>538</v>
      </c>
      <c r="C14" s="6" t="s">
        <v>19</v>
      </c>
      <c r="D14" s="6">
        <v>57</v>
      </c>
      <c r="E14" s="6">
        <v>0</v>
      </c>
      <c r="F14" s="6" t="str">
        <f>HYPERLINK(".\links\cds\TI-538-cds.txt","TI-538")</f>
        <v>TI-538</v>
      </c>
      <c r="G14" s="6">
        <v>174</v>
      </c>
      <c r="I14" s="6" t="s">
        <v>8</v>
      </c>
      <c r="J14" s="6" t="s">
        <v>6</v>
      </c>
      <c r="K14" s="6">
        <v>17</v>
      </c>
      <c r="L14" s="6">
        <v>7</v>
      </c>
      <c r="M14" s="6">
        <f t="shared" si="6"/>
        <v>10</v>
      </c>
      <c r="N14" s="6">
        <f t="shared" si="7"/>
        <v>10</v>
      </c>
      <c r="O14" s="6" t="s">
        <v>1170</v>
      </c>
      <c r="P14" s="6" t="s">
        <v>1171</v>
      </c>
      <c r="T14" s="6" t="s">
        <v>8</v>
      </c>
      <c r="AK14" s="6" t="s">
        <v>8</v>
      </c>
      <c r="AY14" s="6" t="s">
        <v>8</v>
      </c>
      <c r="BL14" s="6" t="s">
        <v>8</v>
      </c>
      <c r="CC14" s="6" t="s">
        <v>8</v>
      </c>
      <c r="CF14" s="6" t="s">
        <v>8</v>
      </c>
      <c r="CI14" s="6" t="s">
        <v>8</v>
      </c>
      <c r="CK14" s="6" t="s">
        <v>8</v>
      </c>
      <c r="CM14" s="6" t="s">
        <v>8</v>
      </c>
      <c r="CO14" s="6" t="s">
        <v>8</v>
      </c>
      <c r="DC14" s="6" t="s">
        <v>8</v>
      </c>
    </row>
    <row r="15" spans="1:120" s="6" customFormat="1">
      <c r="A15" t="str">
        <f>HYPERLINK(".\links\pep\TI-543-pep.txt","TI-543")</f>
        <v>TI-543</v>
      </c>
      <c r="B15">
        <v>543</v>
      </c>
      <c r="C15" t="s">
        <v>27</v>
      </c>
      <c r="D15">
        <v>80</v>
      </c>
      <c r="E15">
        <v>0</v>
      </c>
      <c r="F15" t="str">
        <f>HYPERLINK(".\links\cds\TI-543-cds.txt","TI-543")</f>
        <v>TI-543</v>
      </c>
      <c r="G15">
        <v>243</v>
      </c>
      <c r="H15"/>
      <c r="I15" t="s">
        <v>8</v>
      </c>
      <c r="J15" t="s">
        <v>6</v>
      </c>
      <c r="K15">
        <v>6</v>
      </c>
      <c r="L15">
        <v>1</v>
      </c>
      <c r="M15">
        <f t="shared" si="6"/>
        <v>5</v>
      </c>
      <c r="N15">
        <f t="shared" si="7"/>
        <v>5</v>
      </c>
      <c r="O15" t="s">
        <v>1349</v>
      </c>
      <c r="P15" t="s">
        <v>1178</v>
      </c>
      <c r="Q15" t="str">
        <f>HYPERLINK(".\links\NR-LIGHT\TI-543-NR-LIGHT.txt","NR-LIGHT")</f>
        <v>NR-LIGHT</v>
      </c>
      <c r="R15" s="3">
        <v>9.9999999999999995E-21</v>
      </c>
      <c r="S15">
        <v>24</v>
      </c>
      <c r="T15" t="str">
        <f>HYPERLINK(".\links\NR-LIGHT\TI-543-NR-LIGHT.txt","NADH dehydrogenase subunit 2")</f>
        <v>NADH dehydrogenase subunit 2</v>
      </c>
      <c r="U15" t="str">
        <f>HYPERLINK("http://www.ncbi.nlm.nih.gov/sutils/blink.cgi?pid=11182463","1E-020")</f>
        <v>1E-020</v>
      </c>
      <c r="V15" t="str">
        <f>HYPERLINK("http://www.ncbi.nlm.nih.gov/protein/11182463","gi|11182463")</f>
        <v>gi|11182463</v>
      </c>
      <c r="W15">
        <v>100</v>
      </c>
      <c r="X15">
        <v>79</v>
      </c>
      <c r="Y15">
        <v>332</v>
      </c>
      <c r="Z15">
        <v>62</v>
      </c>
      <c r="AA15">
        <v>24</v>
      </c>
      <c r="AB15">
        <v>30</v>
      </c>
      <c r="AC15">
        <v>0</v>
      </c>
      <c r="AD15">
        <v>31</v>
      </c>
      <c r="AE15">
        <v>1</v>
      </c>
      <c r="AF15">
        <v>1</v>
      </c>
      <c r="AG15"/>
      <c r="AH15" t="s">
        <v>13</v>
      </c>
      <c r="AI15" t="s">
        <v>51</v>
      </c>
      <c r="AJ15" t="s">
        <v>272</v>
      </c>
      <c r="AK15" t="str">
        <f>HYPERLINK(".\links\SWISSP\TI-543-SWISSP.txt","NADH-ubiquinone oxidoreductase chain 2 OS=Hylobates lar GN=MT-ND2 PE=3 SV=1")</f>
        <v>NADH-ubiquinone oxidoreductase chain 2 OS=Hylobates lar GN=MT-ND2 PE=3 SV=1</v>
      </c>
      <c r="AL15" t="str">
        <f>HYPERLINK("http://www.uniprot.org/uniprot/Q95704","4E-006")</f>
        <v>4E-006</v>
      </c>
      <c r="AM15" t="s">
        <v>250</v>
      </c>
      <c r="AN15">
        <v>50.1</v>
      </c>
      <c r="AO15">
        <v>82</v>
      </c>
      <c r="AP15">
        <v>347</v>
      </c>
      <c r="AQ15">
        <v>31</v>
      </c>
      <c r="AR15">
        <v>24</v>
      </c>
      <c r="AS15">
        <v>57</v>
      </c>
      <c r="AT15">
        <v>3</v>
      </c>
      <c r="AU15">
        <v>31</v>
      </c>
      <c r="AV15">
        <v>1</v>
      </c>
      <c r="AW15">
        <v>1</v>
      </c>
      <c r="AX15" t="s">
        <v>251</v>
      </c>
      <c r="AY15" t="s">
        <v>8</v>
      </c>
      <c r="AZ15"/>
      <c r="BA15"/>
      <c r="BB15"/>
      <c r="BC15"/>
      <c r="BD15"/>
      <c r="BE15"/>
      <c r="BF15"/>
      <c r="BG15"/>
      <c r="BH15"/>
      <c r="BI15"/>
      <c r="BJ15"/>
      <c r="BK15"/>
      <c r="BL15" t="s">
        <v>950</v>
      </c>
      <c r="BM15">
        <f>HYPERLINK(".\links\GO\TI-543-GO.txt",0.00003)</f>
        <v>3.0000000000000001E-5</v>
      </c>
      <c r="BN15" t="s">
        <v>373</v>
      </c>
      <c r="BO15" t="s">
        <v>373</v>
      </c>
      <c r="BP15"/>
      <c r="BQ15" t="s">
        <v>374</v>
      </c>
      <c r="BR15">
        <v>5.0000000000000001E-4</v>
      </c>
      <c r="BS15" t="s">
        <v>608</v>
      </c>
      <c r="BT15" t="s">
        <v>323</v>
      </c>
      <c r="BU15" t="s">
        <v>334</v>
      </c>
      <c r="BV15" t="s">
        <v>609</v>
      </c>
      <c r="BW15">
        <v>5.0000000000000001E-4</v>
      </c>
      <c r="BX15" t="s">
        <v>951</v>
      </c>
      <c r="BY15" t="s">
        <v>373</v>
      </c>
      <c r="BZ15"/>
      <c r="CA15" t="s">
        <v>952</v>
      </c>
      <c r="CB15">
        <v>5.0000000000000001E-4</v>
      </c>
      <c r="CC15" t="s">
        <v>8</v>
      </c>
      <c r="CD15"/>
      <c r="CE15"/>
      <c r="CF15" t="s">
        <v>8</v>
      </c>
      <c r="CG15"/>
      <c r="CH15"/>
      <c r="CI15" t="s">
        <v>8</v>
      </c>
      <c r="CJ15"/>
      <c r="CK15" t="s">
        <v>8</v>
      </c>
      <c r="CL15"/>
      <c r="CM15" t="s">
        <v>8</v>
      </c>
      <c r="CN15"/>
      <c r="CO15" t="s">
        <v>8</v>
      </c>
      <c r="CP15"/>
      <c r="CQ15"/>
      <c r="CR15"/>
      <c r="CS15"/>
      <c r="CT15"/>
      <c r="CU15"/>
      <c r="CV15"/>
      <c r="CW15"/>
      <c r="CX15"/>
      <c r="CY15"/>
      <c r="CZ15"/>
      <c r="DA15"/>
      <c r="DB15"/>
      <c r="DC15" t="s"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s="6" customFormat="1">
      <c r="A16" t="str">
        <f>HYPERLINK(".\links\pep\TI-564-pep.txt","TI-564")</f>
        <v>TI-564</v>
      </c>
      <c r="B16">
        <v>564</v>
      </c>
      <c r="C16" t="s">
        <v>12</v>
      </c>
      <c r="D16">
        <v>210</v>
      </c>
      <c r="E16">
        <v>0</v>
      </c>
      <c r="F16" t="str">
        <f>HYPERLINK(".\links\cds\TI-564-cds.txt","TI-564")</f>
        <v>TI-564</v>
      </c>
      <c r="G16">
        <v>633</v>
      </c>
      <c r="H16"/>
      <c r="I16" t="s">
        <v>8</v>
      </c>
      <c r="J16" t="s">
        <v>6</v>
      </c>
      <c r="K16">
        <v>4</v>
      </c>
      <c r="L16">
        <v>0</v>
      </c>
      <c r="M16">
        <f t="shared" si="6"/>
        <v>4</v>
      </c>
      <c r="N16">
        <f t="shared" si="7"/>
        <v>4</v>
      </c>
      <c r="O16" t="s">
        <v>1241</v>
      </c>
      <c r="P16" t="s">
        <v>1168</v>
      </c>
      <c r="Q16" t="str">
        <f>HYPERLINK(".\links\NR-LIGHT\TI-564-NR-LIGHT.txt","NR-LIGHT")</f>
        <v>NR-LIGHT</v>
      </c>
      <c r="R16">
        <v>6E-9</v>
      </c>
      <c r="S16">
        <v>82.8</v>
      </c>
      <c r="T16" t="str">
        <f>HYPERLINK(".\links\NR-LIGHT\TI-564-NR-LIGHT.txt","rhodnius biogenic aminebinding-like protein")</f>
        <v>rhodnius biogenic aminebinding-like protein</v>
      </c>
      <c r="U16" t="str">
        <f>HYPERLINK("http://www.ncbi.nlm.nih.gov/sutils/blink.cgi?pid=307094890","4E-061")</f>
        <v>4E-061</v>
      </c>
      <c r="V16" t="str">
        <f>HYPERLINK("http://www.ncbi.nlm.nih.gov/protein/307094890","gi|307094890")</f>
        <v>gi|307094890</v>
      </c>
      <c r="W16">
        <v>236</v>
      </c>
      <c r="X16">
        <v>197</v>
      </c>
      <c r="Y16">
        <v>211</v>
      </c>
      <c r="Z16">
        <v>55</v>
      </c>
      <c r="AA16">
        <v>94</v>
      </c>
      <c r="AB16">
        <v>89</v>
      </c>
      <c r="AC16">
        <v>1</v>
      </c>
      <c r="AD16">
        <v>9</v>
      </c>
      <c r="AE16">
        <v>14</v>
      </c>
      <c r="AF16">
        <v>1</v>
      </c>
      <c r="AG16"/>
      <c r="AH16" t="s">
        <v>13</v>
      </c>
      <c r="AI16" t="s">
        <v>51</v>
      </c>
      <c r="AJ16" t="s">
        <v>278</v>
      </c>
      <c r="AK16" t="str">
        <f>HYPERLINK(".\links\SWISSP\TI-564-SWISSP.txt","Apolipoprotein D OS=Macaca fascicularis GN=APOD PE=2 SV=1")</f>
        <v>Apolipoprotein D OS=Macaca fascicularis GN=APOD PE=2 SV=1</v>
      </c>
      <c r="AL16" t="str">
        <f>HYPERLINK("http://www.uniprot.org/uniprot/Q8SPI0","2E-004")</f>
        <v>2E-004</v>
      </c>
      <c r="AM16" t="s">
        <v>219</v>
      </c>
      <c r="AN16">
        <v>46.2</v>
      </c>
      <c r="AO16">
        <v>160</v>
      </c>
      <c r="AP16">
        <v>189</v>
      </c>
      <c r="AQ16">
        <v>24</v>
      </c>
      <c r="AR16">
        <v>85</v>
      </c>
      <c r="AS16">
        <v>137</v>
      </c>
      <c r="AT16">
        <v>25</v>
      </c>
      <c r="AU16">
        <v>27</v>
      </c>
      <c r="AV16">
        <v>30</v>
      </c>
      <c r="AW16">
        <v>1</v>
      </c>
      <c r="AX16" t="s">
        <v>220</v>
      </c>
      <c r="AY16" t="str">
        <f>HYPERLINK(".\links\PREV-RHOD-PEP\TI-564-PREV-RHOD-PEP.txt","Contig1709_3")</f>
        <v>Contig1709_3</v>
      </c>
      <c r="AZ16" s="3">
        <v>3.0000000000000002E-55</v>
      </c>
      <c r="BA16" t="s">
        <v>1160</v>
      </c>
      <c r="BB16">
        <v>210</v>
      </c>
      <c r="BC16">
        <v>200</v>
      </c>
      <c r="BD16">
        <v>206</v>
      </c>
      <c r="BE16">
        <v>47</v>
      </c>
      <c r="BF16">
        <v>98</v>
      </c>
      <c r="BG16">
        <v>106</v>
      </c>
      <c r="BH16">
        <v>2</v>
      </c>
      <c r="BI16">
        <v>6</v>
      </c>
      <c r="BJ16">
        <v>11</v>
      </c>
      <c r="BK16">
        <v>1</v>
      </c>
      <c r="BL16" t="s">
        <v>8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 t="s">
        <v>8</v>
      </c>
      <c r="CD16"/>
      <c r="CE16"/>
      <c r="CF16" t="s">
        <v>8</v>
      </c>
      <c r="CG16"/>
      <c r="CH16"/>
      <c r="CI16" t="s">
        <v>8</v>
      </c>
      <c r="CJ16"/>
      <c r="CK16" t="s">
        <v>8</v>
      </c>
      <c r="CL16"/>
      <c r="CM16" t="s">
        <v>8</v>
      </c>
      <c r="CN16"/>
      <c r="CO16" t="s">
        <v>8</v>
      </c>
      <c r="CP16"/>
      <c r="CQ16"/>
      <c r="CR16"/>
      <c r="CS16"/>
      <c r="CT16"/>
      <c r="CU16"/>
      <c r="CV16"/>
      <c r="CW16"/>
      <c r="CX16"/>
      <c r="CY16"/>
      <c r="CZ16"/>
      <c r="DA16"/>
      <c r="DB16"/>
      <c r="DC16" t="s">
        <v>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20" s="6" customFormat="1">
      <c r="A17" t="str">
        <f>HYPERLINK(".\links\pep\TI-565-pep.txt","TI-565")</f>
        <v>TI-565</v>
      </c>
      <c r="B17">
        <v>565</v>
      </c>
      <c r="C17" t="s">
        <v>7</v>
      </c>
      <c r="D17">
        <v>177</v>
      </c>
      <c r="E17">
        <v>0</v>
      </c>
      <c r="F17" t="str">
        <f>HYPERLINK(".\links\cds\TI-565-cds.txt","TI-565")</f>
        <v>TI-565</v>
      </c>
      <c r="G17">
        <v>530</v>
      </c>
      <c r="H17"/>
      <c r="I17" t="s">
        <v>29</v>
      </c>
      <c r="J17" t="s">
        <v>8</v>
      </c>
      <c r="K17">
        <v>4</v>
      </c>
      <c r="L17">
        <v>0</v>
      </c>
      <c r="M17">
        <f t="shared" si="6"/>
        <v>4</v>
      </c>
      <c r="N17">
        <f t="shared" si="7"/>
        <v>4</v>
      </c>
      <c r="O17" t="s">
        <v>1242</v>
      </c>
      <c r="P17" t="s">
        <v>1178</v>
      </c>
      <c r="Q17" t="str">
        <f>HYPERLINK(".\links\NR-LIGHT\TI-565-NR-LIGHT.txt","NR-LIGHT")</f>
        <v>NR-LIGHT</v>
      </c>
      <c r="R17" s="3">
        <v>7.9999999999999998E-48</v>
      </c>
      <c r="S17">
        <v>84.8</v>
      </c>
      <c r="T17" t="str">
        <f>HYPERLINK(".\links\NR-LIGHT\TI-565-NR-LIGHT.txt","rhodnius biogenic aminebinding-like protein")</f>
        <v>rhodnius biogenic aminebinding-like protein</v>
      </c>
      <c r="U17" t="str">
        <f>HYPERLINK("http://www.ncbi.nlm.nih.gov/sutils/blink.cgi?pid=307094890","8E-048")</f>
        <v>8E-048</v>
      </c>
      <c r="V17" t="str">
        <f>HYPERLINK("http://www.ncbi.nlm.nih.gov/protein/307094890","gi|307094890")</f>
        <v>gi|307094890</v>
      </c>
      <c r="W17">
        <v>191</v>
      </c>
      <c r="X17">
        <v>177</v>
      </c>
      <c r="Y17">
        <v>211</v>
      </c>
      <c r="Z17">
        <v>53</v>
      </c>
      <c r="AA17">
        <v>84</v>
      </c>
      <c r="AB17">
        <v>84</v>
      </c>
      <c r="AC17">
        <v>3</v>
      </c>
      <c r="AD17">
        <v>1</v>
      </c>
      <c r="AE17">
        <v>1</v>
      </c>
      <c r="AF17">
        <v>1</v>
      </c>
      <c r="AG17"/>
      <c r="AH17" t="s">
        <v>13</v>
      </c>
      <c r="AI17" t="s">
        <v>51</v>
      </c>
      <c r="AJ17" t="s">
        <v>278</v>
      </c>
      <c r="AK17" t="str">
        <f>HYPERLINK(".\links\SWISSP\TI-565-SWISSP.txt","Apolipoprotein D OS=Macaca fascicularis GN=APOD PE=2 SV=1")</f>
        <v>Apolipoprotein D OS=Macaca fascicularis GN=APOD PE=2 SV=1</v>
      </c>
      <c r="AL17" t="str">
        <f>HYPERLINK("http://www.uniprot.org/uniprot/Q8SPI0","0.002")</f>
        <v>0.002</v>
      </c>
      <c r="AM17" t="s">
        <v>219</v>
      </c>
      <c r="AN17">
        <v>42</v>
      </c>
      <c r="AO17">
        <v>112</v>
      </c>
      <c r="AP17">
        <v>189</v>
      </c>
      <c r="AQ17">
        <v>26</v>
      </c>
      <c r="AR17">
        <v>60</v>
      </c>
      <c r="AS17">
        <v>99</v>
      </c>
      <c r="AT17">
        <v>24</v>
      </c>
      <c r="AU17">
        <v>27</v>
      </c>
      <c r="AV17">
        <v>24</v>
      </c>
      <c r="AW17">
        <v>1</v>
      </c>
      <c r="AX17" t="s">
        <v>220</v>
      </c>
      <c r="AY17" t="str">
        <f>HYPERLINK(".\links\PREV-RHOD-PEP\TI-565-PREV-RHOD-PEP.txt","Contig1709_3")</f>
        <v>Contig1709_3</v>
      </c>
      <c r="AZ17" s="3">
        <v>6.0000000000000002E-45</v>
      </c>
      <c r="BA17" t="s">
        <v>1160</v>
      </c>
      <c r="BB17">
        <v>176</v>
      </c>
      <c r="BC17">
        <v>166</v>
      </c>
      <c r="BD17">
        <v>206</v>
      </c>
      <c r="BE17">
        <v>50</v>
      </c>
      <c r="BF17">
        <v>81</v>
      </c>
      <c r="BG17">
        <v>84</v>
      </c>
      <c r="BH17">
        <v>2</v>
      </c>
      <c r="BI17">
        <v>2</v>
      </c>
      <c r="BJ17">
        <v>1</v>
      </c>
      <c r="BK17">
        <v>1</v>
      </c>
      <c r="BL17" t="s">
        <v>8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 t="s">
        <v>8</v>
      </c>
      <c r="CD17"/>
      <c r="CE17"/>
      <c r="CF17" t="s">
        <v>8</v>
      </c>
      <c r="CG17"/>
      <c r="CH17"/>
      <c r="CI17" t="s">
        <v>8</v>
      </c>
      <c r="CJ17"/>
      <c r="CK17" t="s">
        <v>8</v>
      </c>
      <c r="CL17"/>
      <c r="CM17" t="s">
        <v>8</v>
      </c>
      <c r="CN17"/>
      <c r="CO17" t="s">
        <v>8</v>
      </c>
      <c r="CP17"/>
      <c r="CQ17"/>
      <c r="CR17"/>
      <c r="CS17"/>
      <c r="CT17"/>
      <c r="CU17"/>
      <c r="CV17"/>
      <c r="CW17"/>
      <c r="CX17"/>
      <c r="CY17"/>
      <c r="CZ17"/>
      <c r="DA17"/>
      <c r="DB17"/>
      <c r="DC17" t="s"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20" s="6" customFormat="1">
      <c r="A18" t="str">
        <f>HYPERLINK(".\links\pep\TI-575-pep.txt","TI-575")</f>
        <v>TI-575</v>
      </c>
      <c r="B18">
        <v>575</v>
      </c>
      <c r="C18" t="s">
        <v>23</v>
      </c>
      <c r="D18">
        <v>93</v>
      </c>
      <c r="E18">
        <v>0</v>
      </c>
      <c r="F18" t="str">
        <f>HYPERLINK(".\links\cds\TI-575-cds.txt","TI-575")</f>
        <v>TI-575</v>
      </c>
      <c r="G18">
        <v>276</v>
      </c>
      <c r="H18"/>
      <c r="I18" t="s">
        <v>8</v>
      </c>
      <c r="J18" t="s">
        <v>8</v>
      </c>
      <c r="K18">
        <v>4</v>
      </c>
      <c r="L18">
        <v>2</v>
      </c>
      <c r="M18">
        <f t="shared" si="6"/>
        <v>2</v>
      </c>
      <c r="N18">
        <f t="shared" si="7"/>
        <v>2</v>
      </c>
      <c r="O18" t="s">
        <v>1357</v>
      </c>
      <c r="P18" t="s">
        <v>1172</v>
      </c>
      <c r="Q18" t="str">
        <f>HYPERLINK(".\links\GO\TI-575-GO.txt","GO")</f>
        <v>GO</v>
      </c>
      <c r="R18" s="3">
        <v>9.9999999999999991E-22</v>
      </c>
      <c r="S18">
        <v>41.5</v>
      </c>
      <c r="T18" t="str">
        <f>HYPERLINK(".\links\NR-LIGHT\TI-575-NR-LIGHT.txt","truncated ATPase subunit 6")</f>
        <v>truncated ATPase subunit 6</v>
      </c>
      <c r="U18" t="str">
        <f>HYPERLINK("http://www.ncbi.nlm.nih.gov/sutils/blink.cgi?pid=149898887","3E-034")</f>
        <v>3E-034</v>
      </c>
      <c r="V18" t="str">
        <f>HYPERLINK("http://www.ncbi.nlm.nih.gov/protein/149898887","gi|149898887")</f>
        <v>gi|149898887</v>
      </c>
      <c r="W18">
        <v>145</v>
      </c>
      <c r="X18">
        <v>92</v>
      </c>
      <c r="Y18">
        <v>222</v>
      </c>
      <c r="Z18">
        <v>76</v>
      </c>
      <c r="AA18">
        <v>42</v>
      </c>
      <c r="AB18">
        <v>22</v>
      </c>
      <c r="AC18">
        <v>0</v>
      </c>
      <c r="AD18">
        <v>118</v>
      </c>
      <c r="AE18">
        <v>1</v>
      </c>
      <c r="AF18">
        <v>1</v>
      </c>
      <c r="AG18"/>
      <c r="AH18" t="s">
        <v>13</v>
      </c>
      <c r="AI18" t="s">
        <v>51</v>
      </c>
      <c r="AJ18" t="s">
        <v>273</v>
      </c>
      <c r="AK18" t="str">
        <f>HYPERLINK(".\links\SWISSP\TI-575-SWISSP.txt","ATP synthase subunit a OS=Aedes aegypti GN=mt:ATPase6 PE=2 SV=1")</f>
        <v>ATP synthase subunit a OS=Aedes aegypti GN=mt:ATPase6 PE=2 SV=1</v>
      </c>
      <c r="AL18" t="str">
        <f>HYPERLINK("http://www.uniprot.org/uniprot/Q1HRS5","2E-021")</f>
        <v>2E-021</v>
      </c>
      <c r="AM18" t="s">
        <v>258</v>
      </c>
      <c r="AN18">
        <v>100</v>
      </c>
      <c r="AO18">
        <v>91</v>
      </c>
      <c r="AP18">
        <v>226</v>
      </c>
      <c r="AQ18">
        <v>53</v>
      </c>
      <c r="AR18">
        <v>41</v>
      </c>
      <c r="AS18">
        <v>43</v>
      </c>
      <c r="AT18">
        <v>1</v>
      </c>
      <c r="AU18">
        <v>122</v>
      </c>
      <c r="AV18">
        <v>3</v>
      </c>
      <c r="AW18">
        <v>1</v>
      </c>
      <c r="AX18" t="s">
        <v>76</v>
      </c>
      <c r="AY18" t="s">
        <v>8</v>
      </c>
      <c r="AZ18"/>
      <c r="BA18"/>
      <c r="BB18"/>
      <c r="BC18"/>
      <c r="BD18"/>
      <c r="BE18"/>
      <c r="BF18"/>
      <c r="BG18"/>
      <c r="BH18"/>
      <c r="BI18"/>
      <c r="BJ18"/>
      <c r="BK18"/>
      <c r="BL18" t="s">
        <v>966</v>
      </c>
      <c r="BM18">
        <f>HYPERLINK(".\links\GO\TI-575-GO.txt",1E-21)</f>
        <v>9.9999999999999991E-22</v>
      </c>
      <c r="BN18" t="s">
        <v>548</v>
      </c>
      <c r="BO18" t="s">
        <v>345</v>
      </c>
      <c r="BP18" t="s">
        <v>349</v>
      </c>
      <c r="BQ18" t="s">
        <v>549</v>
      </c>
      <c r="BR18" s="3">
        <v>9.9999999999999991E-22</v>
      </c>
      <c r="BS18" t="s">
        <v>608</v>
      </c>
      <c r="BT18" t="s">
        <v>323</v>
      </c>
      <c r="BU18" t="s">
        <v>334</v>
      </c>
      <c r="BV18" t="s">
        <v>609</v>
      </c>
      <c r="BW18" s="3">
        <v>9.9999999999999991E-22</v>
      </c>
      <c r="BX18" t="s">
        <v>967</v>
      </c>
      <c r="BY18" t="s">
        <v>345</v>
      </c>
      <c r="BZ18" t="s">
        <v>349</v>
      </c>
      <c r="CA18" t="s">
        <v>968</v>
      </c>
      <c r="CB18" s="3">
        <v>9.9999999999999991E-22</v>
      </c>
      <c r="CC18" t="s">
        <v>8</v>
      </c>
      <c r="CD18"/>
      <c r="CE18"/>
      <c r="CF18" t="s">
        <v>8</v>
      </c>
      <c r="CG18"/>
      <c r="CH18"/>
      <c r="CI18" t="s">
        <v>8</v>
      </c>
      <c r="CJ18"/>
      <c r="CK18" t="s">
        <v>8</v>
      </c>
      <c r="CL18"/>
      <c r="CM18" t="s">
        <v>8</v>
      </c>
      <c r="CN18"/>
      <c r="CO18" t="str">
        <f>HYPERLINK(".\links\MIT-PLA\TI-575-MIT-PLA.txt","Triatoma infestans clone TI-81 truncated ATPase subunit 6 mRNA, partial cds;")</f>
        <v>Triatoma infestans clone TI-81 truncated ATPase subunit 6 mRNA, partial cds;</v>
      </c>
      <c r="CP18" t="str">
        <f>HYPERLINK("http://www.ncbi.nlm.nih.gov/entrez/viewer.fcgi?db=nucleotide&amp;val=149898886","1E-123")</f>
        <v>1E-123</v>
      </c>
      <c r="CQ18" t="str">
        <f>HYPERLINK("http://www.ncbi.nlm.nih.gov/entrez/viewer.fcgi?db=nucleotide&amp;val=149898886","gi|149898886")</f>
        <v>gi|149898886</v>
      </c>
      <c r="CR18">
        <v>436</v>
      </c>
      <c r="CS18">
        <v>275</v>
      </c>
      <c r="CT18">
        <v>666</v>
      </c>
      <c r="CU18">
        <v>94</v>
      </c>
      <c r="CV18">
        <v>41</v>
      </c>
      <c r="CW18">
        <v>14</v>
      </c>
      <c r="CX18">
        <v>0</v>
      </c>
      <c r="CY18">
        <v>352</v>
      </c>
      <c r="CZ18">
        <v>1</v>
      </c>
      <c r="DA18">
        <v>1</v>
      </c>
      <c r="DB18" t="s">
        <v>51</v>
      </c>
      <c r="DC18" t="s"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20" s="6" customFormat="1">
      <c r="A19" t="str">
        <f>HYPERLINK(".\links\pep\TI-90-pep.txt","TI-90")</f>
        <v>TI-90</v>
      </c>
      <c r="B19">
        <v>90</v>
      </c>
      <c r="C19" t="s">
        <v>11</v>
      </c>
      <c r="D19">
        <v>226</v>
      </c>
      <c r="E19">
        <v>0</v>
      </c>
      <c r="F19" t="str">
        <f>HYPERLINK(".\links\cds\TI-90-cds.txt","TI-90")</f>
        <v>TI-90</v>
      </c>
      <c r="G19">
        <v>676</v>
      </c>
      <c r="H19"/>
      <c r="I19" t="s">
        <v>8</v>
      </c>
      <c r="J19" t="s">
        <v>8</v>
      </c>
      <c r="K19">
        <v>2</v>
      </c>
      <c r="L19">
        <v>0</v>
      </c>
      <c r="M19">
        <f t="shared" ref="M19" si="8">K19-L19</f>
        <v>2</v>
      </c>
      <c r="N19">
        <f t="shared" ref="N19" si="9">ABS(K19-L19)</f>
        <v>2</v>
      </c>
      <c r="O19" t="s">
        <v>1191</v>
      </c>
      <c r="P19" t="s">
        <v>1187</v>
      </c>
      <c r="Q19" t="str">
        <f>HYPERLINK(".\links\SWISSP\TI-90-SWISSP.txt","SWISSP")</f>
        <v>SWISSP</v>
      </c>
      <c r="R19">
        <v>1.9999999999999999E-11</v>
      </c>
      <c r="S19">
        <v>13.1</v>
      </c>
      <c r="T19" t="str">
        <f>HYPERLINK(".\links\NR-LIGHT\TI-90-NR-LIGHT.txt","CG31195")</f>
        <v>CG31195</v>
      </c>
      <c r="U19" t="str">
        <f>HYPERLINK("http://www.ncbi.nlm.nih.gov/sutils/blink.cgi?pid=281362159","1E-098")</f>
        <v>1E-098</v>
      </c>
      <c r="V19" t="str">
        <f>HYPERLINK("http://www.ncbi.nlm.nih.gov/protein/281362159","gi|281362159")</f>
        <v>gi|281362159</v>
      </c>
      <c r="W19">
        <v>361</v>
      </c>
      <c r="X19">
        <v>526</v>
      </c>
      <c r="Y19">
        <v>807</v>
      </c>
      <c r="Z19">
        <v>74</v>
      </c>
      <c r="AA19">
        <v>65</v>
      </c>
      <c r="AB19">
        <v>59</v>
      </c>
      <c r="AC19">
        <v>1</v>
      </c>
      <c r="AD19">
        <v>267</v>
      </c>
      <c r="AE19">
        <v>1</v>
      </c>
      <c r="AF19">
        <v>2</v>
      </c>
      <c r="AG19"/>
      <c r="AH19" t="s">
        <v>13</v>
      </c>
      <c r="AI19" t="s">
        <v>51</v>
      </c>
      <c r="AJ19" t="s">
        <v>52</v>
      </c>
      <c r="AK19" t="str">
        <f>HYPERLINK(".\links\SWISSP\TI-90-SWISSP.txt","Probable G-protein coupled receptor 158 OS=Mus musculus GN=Gpr158 PE=1 SV=2")</f>
        <v>Probable G-protein coupled receptor 158 OS=Mus musculus GN=Gpr158 PE=1 SV=2</v>
      </c>
      <c r="AL19" t="str">
        <f>HYPERLINK("http://www.uniprot.org/uniprot/Q8C419","2E-011")</f>
        <v>2E-011</v>
      </c>
      <c r="AM19" t="s">
        <v>135</v>
      </c>
      <c r="AN19">
        <v>68.900000000000006</v>
      </c>
      <c r="AO19">
        <v>140</v>
      </c>
      <c r="AP19">
        <v>1200</v>
      </c>
      <c r="AQ19">
        <v>27</v>
      </c>
      <c r="AR19">
        <v>12</v>
      </c>
      <c r="AS19">
        <v>114</v>
      </c>
      <c r="AT19">
        <v>22</v>
      </c>
      <c r="AU19">
        <v>221</v>
      </c>
      <c r="AV19">
        <v>25</v>
      </c>
      <c r="AW19">
        <v>1</v>
      </c>
      <c r="AX19" t="s">
        <v>87</v>
      </c>
      <c r="AY19" t="str">
        <f>HYPERLINK(".\links\PREV-RHOD-PEP\TI-90-PREV-RHOD-PEP.txt","Contig17898_11")</f>
        <v>Contig17898_11</v>
      </c>
      <c r="AZ19" s="3">
        <v>9.9999999999999997E-61</v>
      </c>
      <c r="BA19" t="s">
        <v>1051</v>
      </c>
      <c r="BB19">
        <v>229</v>
      </c>
      <c r="BC19">
        <v>523</v>
      </c>
      <c r="BD19">
        <v>812</v>
      </c>
      <c r="BE19">
        <v>89</v>
      </c>
      <c r="BF19">
        <v>65</v>
      </c>
      <c r="BG19">
        <v>12</v>
      </c>
      <c r="BH19">
        <v>0</v>
      </c>
      <c r="BI19">
        <v>250</v>
      </c>
      <c r="BJ19">
        <v>1</v>
      </c>
      <c r="BK19">
        <v>2</v>
      </c>
      <c r="BL19" t="s">
        <v>604</v>
      </c>
      <c r="BM19">
        <f>HYPERLINK(".\links\GO\TI-90-GO.txt",0)</f>
        <v>0</v>
      </c>
      <c r="BN19" t="s">
        <v>373</v>
      </c>
      <c r="BO19" t="s">
        <v>373</v>
      </c>
      <c r="BP19"/>
      <c r="BQ19" t="s">
        <v>374</v>
      </c>
      <c r="BR19" s="3">
        <v>1E-100</v>
      </c>
      <c r="BS19" t="s">
        <v>375</v>
      </c>
      <c r="BT19" t="s">
        <v>375</v>
      </c>
      <c r="BU19"/>
      <c r="BV19" t="s">
        <v>376</v>
      </c>
      <c r="BW19" s="3">
        <v>1E-100</v>
      </c>
      <c r="BX19" t="s">
        <v>380</v>
      </c>
      <c r="BY19" t="s">
        <v>373</v>
      </c>
      <c r="BZ19"/>
      <c r="CA19" t="s">
        <v>381</v>
      </c>
      <c r="CB19" s="3">
        <v>1E-100</v>
      </c>
      <c r="CC19"/>
      <c r="CD19"/>
      <c r="CE19" t="s">
        <v>8</v>
      </c>
      <c r="CF19"/>
      <c r="CG19"/>
      <c r="CH19" t="s">
        <v>8</v>
      </c>
      <c r="CI19"/>
      <c r="CJ19" t="s">
        <v>8</v>
      </c>
      <c r="CK19"/>
      <c r="CL19" t="s">
        <v>8</v>
      </c>
      <c r="CM19"/>
      <c r="CN19" t="s">
        <v>8</v>
      </c>
      <c r="CO19"/>
      <c r="CP19"/>
      <c r="CQ19"/>
      <c r="CR19"/>
      <c r="CS19"/>
      <c r="CT19"/>
      <c r="CU19"/>
      <c r="CV19"/>
      <c r="CW19"/>
      <c r="CX19"/>
      <c r="CY19"/>
      <c r="CZ19"/>
      <c r="DA19"/>
      <c r="DB19" t="s">
        <v>8</v>
      </c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20">
      <c r="A20" t="str">
        <f>HYPERLINK(".\links\pep\TI-64-pep.txt","TI-64")</f>
        <v>TI-64</v>
      </c>
      <c r="B20">
        <v>64</v>
      </c>
      <c r="C20" t="s">
        <v>19</v>
      </c>
      <c r="D20">
        <v>223</v>
      </c>
      <c r="E20">
        <v>0</v>
      </c>
      <c r="F20" t="str">
        <f>HYPERLINK(".\links\cds\TI-64-cds.txt","TI-64")</f>
        <v>TI-64</v>
      </c>
      <c r="G20">
        <v>667</v>
      </c>
      <c r="I20" t="s">
        <v>8</v>
      </c>
      <c r="J20" t="s">
        <v>8</v>
      </c>
      <c r="K20">
        <v>2</v>
      </c>
      <c r="L20">
        <v>0</v>
      </c>
      <c r="M20">
        <f t="shared" ref="M20" si="10">K20-L20</f>
        <v>2</v>
      </c>
      <c r="N20">
        <f t="shared" ref="N20" si="11">ABS(K20-L20)</f>
        <v>2</v>
      </c>
      <c r="O20" t="s">
        <v>1262</v>
      </c>
      <c r="P20" t="s">
        <v>1178</v>
      </c>
      <c r="Q20" t="str">
        <f>HYPERLINK(".\links\NR-LIGHT\TI-64-NR-LIGHT.txt","NR-LIGHT")</f>
        <v>NR-LIGHT</v>
      </c>
      <c r="R20" s="3">
        <v>7.0000000000000003E-62</v>
      </c>
      <c r="S20">
        <v>51</v>
      </c>
      <c r="T20" t="str">
        <f>HYPERLINK(".\links\NR-LIGHT\TI-64-NR-LIGHT.txt","heterogeneous nuclear ribonucleoprotein 87F-like")</f>
        <v>heterogeneous nuclear ribonucleoprotein 87F-like</v>
      </c>
      <c r="U20" t="str">
        <f>HYPERLINK("http://www.ncbi.nlm.nih.gov/sutils/blink.cgi?pid=328709829","7E-062")</f>
        <v>7E-062</v>
      </c>
      <c r="V20" t="str">
        <f>HYPERLINK("http://www.ncbi.nlm.nih.gov/protein/328709829","gi|328709829")</f>
        <v>gi|328709829</v>
      </c>
      <c r="W20">
        <v>238</v>
      </c>
      <c r="X20">
        <v>172</v>
      </c>
      <c r="Y20">
        <v>349</v>
      </c>
      <c r="Z20">
        <v>65</v>
      </c>
      <c r="AA20">
        <v>50</v>
      </c>
      <c r="AB20">
        <v>62</v>
      </c>
      <c r="AC20">
        <v>9</v>
      </c>
      <c r="AD20">
        <v>5</v>
      </c>
      <c r="AE20">
        <v>39</v>
      </c>
      <c r="AF20">
        <v>1</v>
      </c>
      <c r="AH20" t="s">
        <v>13</v>
      </c>
      <c r="AI20" t="s">
        <v>51</v>
      </c>
      <c r="AJ20" t="s">
        <v>264</v>
      </c>
      <c r="AK20" t="str">
        <f>HYPERLINK(".\links\SWISSP\TI-64-SWISSP.txt","Heterogeneous nuclear ribonucleoprotein A1 OS=Drosophila melanogaster GN=Hrb98DE")</f>
        <v>Heterogeneous nuclear ribonucleoprotein A1 OS=Drosophila melanogaster GN=Hrb98DE</v>
      </c>
      <c r="AL20" t="str">
        <f>HYPERLINK("http://www.uniprot.org/uniprot/P07909","3E-059")</f>
        <v>3E-059</v>
      </c>
      <c r="AM20" t="s">
        <v>127</v>
      </c>
      <c r="AN20">
        <v>228</v>
      </c>
      <c r="AO20">
        <v>178</v>
      </c>
      <c r="AP20">
        <v>365</v>
      </c>
      <c r="AQ20">
        <v>60</v>
      </c>
      <c r="AR20">
        <v>49</v>
      </c>
      <c r="AS20">
        <v>72</v>
      </c>
      <c r="AT20">
        <v>2</v>
      </c>
      <c r="AU20">
        <v>22</v>
      </c>
      <c r="AV20">
        <v>35</v>
      </c>
      <c r="AW20">
        <v>2</v>
      </c>
      <c r="AX20" t="s">
        <v>52</v>
      </c>
      <c r="AY20" t="str">
        <f>HYPERLINK(".\links\PREV-RHOD-PEP\TI-64-PREV-RHOD-PEP.txt","Contig17966_159")</f>
        <v>Contig17966_159</v>
      </c>
      <c r="AZ20" s="3">
        <v>5.0000000000000002E-98</v>
      </c>
      <c r="BA20" t="s">
        <v>1041</v>
      </c>
      <c r="BB20">
        <v>352</v>
      </c>
      <c r="BC20">
        <v>184</v>
      </c>
      <c r="BD20">
        <v>939</v>
      </c>
      <c r="BE20">
        <v>91</v>
      </c>
      <c r="BF20">
        <v>20</v>
      </c>
      <c r="BG20">
        <v>16</v>
      </c>
      <c r="BH20">
        <v>1</v>
      </c>
      <c r="BI20">
        <v>550</v>
      </c>
      <c r="BJ20">
        <v>35</v>
      </c>
      <c r="BK20">
        <v>1</v>
      </c>
      <c r="BL20" t="s">
        <v>567</v>
      </c>
      <c r="BM20">
        <f>HYPERLINK(".\links\GO\TI-64-GO.txt",1E-59)</f>
        <v>1E-59</v>
      </c>
      <c r="BN20" t="s">
        <v>568</v>
      </c>
      <c r="BO20" t="s">
        <v>340</v>
      </c>
      <c r="BP20" t="s">
        <v>468</v>
      </c>
      <c r="BQ20" t="s">
        <v>569</v>
      </c>
      <c r="BR20" s="3">
        <v>7.0000000000000002E-59</v>
      </c>
      <c r="BS20" t="s">
        <v>570</v>
      </c>
      <c r="BT20" t="s">
        <v>477</v>
      </c>
      <c r="BU20" t="s">
        <v>477</v>
      </c>
      <c r="BV20" t="s">
        <v>571</v>
      </c>
      <c r="BW20" s="3">
        <v>7.0000000000000002E-59</v>
      </c>
      <c r="BX20" t="s">
        <v>572</v>
      </c>
      <c r="BY20" t="s">
        <v>340</v>
      </c>
      <c r="BZ20" t="s">
        <v>468</v>
      </c>
      <c r="CA20" t="s">
        <v>573</v>
      </c>
      <c r="CB20" s="3">
        <v>7.0000000000000002E-59</v>
      </c>
      <c r="CE20" t="s">
        <v>8</v>
      </c>
      <c r="CH20" t="s">
        <v>8</v>
      </c>
      <c r="CJ20" t="s">
        <v>8</v>
      </c>
      <c r="CL20" t="s">
        <v>8</v>
      </c>
      <c r="CN20" t="s">
        <v>8</v>
      </c>
      <c r="DB20" t="s">
        <v>8</v>
      </c>
    </row>
    <row r="21" spans="1:120">
      <c r="A21" s="6" t="str">
        <f>HYPERLINK(".\links\pep\TI-587-pep.txt","TI-587")</f>
        <v>TI-587</v>
      </c>
      <c r="B21" s="6">
        <v>587</v>
      </c>
      <c r="C21" s="6" t="s">
        <v>27</v>
      </c>
      <c r="D21" s="6">
        <v>53</v>
      </c>
      <c r="E21" s="6">
        <v>0</v>
      </c>
      <c r="F21" s="6" t="str">
        <f>HYPERLINK(".\links\cds\TI-587-cds.txt","TI-587")</f>
        <v>TI-587</v>
      </c>
      <c r="G21" s="6">
        <v>162</v>
      </c>
      <c r="H21" s="6"/>
      <c r="I21" s="6" t="s">
        <v>8</v>
      </c>
      <c r="J21" s="6" t="s">
        <v>6</v>
      </c>
      <c r="K21" s="6">
        <v>2</v>
      </c>
      <c r="L21" s="6">
        <v>0</v>
      </c>
      <c r="M21">
        <f t="shared" ref="M21" si="12">K21-L21</f>
        <v>2</v>
      </c>
      <c r="N21">
        <f t="shared" ref="N21" si="13">ABS(K21-L21)</f>
        <v>2</v>
      </c>
      <c r="O21" s="6" t="s">
        <v>1170</v>
      </c>
      <c r="P21" s="6" t="s">
        <v>1171</v>
      </c>
      <c r="Q21" s="6"/>
      <c r="R21" s="6"/>
      <c r="S21" s="6"/>
      <c r="T21" s="6" t="str">
        <f>HYPERLINK(".\links\NR-LIGHT\TI-587-NR-LIGHT.txt","mannose-1-phosphate guanyltransferase alpha-B")</f>
        <v>mannose-1-phosphate guanyltransferase alpha-B</v>
      </c>
      <c r="U21" s="6" t="str">
        <f>HYPERLINK("http://www.ncbi.nlm.nih.gov/sutils/blink.cgi?pid=41053852","3.5")</f>
        <v>3.5</v>
      </c>
      <c r="V21" s="6" t="str">
        <f>HYPERLINK("http://www.ncbi.nlm.nih.gov/protein/41053852","gi|41053852")</f>
        <v>gi|41053852</v>
      </c>
      <c r="W21" s="6">
        <v>32.700000000000003</v>
      </c>
      <c r="X21" s="6">
        <v>61</v>
      </c>
      <c r="Y21" s="6">
        <v>422</v>
      </c>
      <c r="Z21" s="6">
        <v>33</v>
      </c>
      <c r="AA21" s="6">
        <v>15</v>
      </c>
      <c r="AB21" s="6">
        <v>41</v>
      </c>
      <c r="AC21" s="6">
        <v>16</v>
      </c>
      <c r="AD21" s="6">
        <v>196</v>
      </c>
      <c r="AE21" s="6">
        <v>3</v>
      </c>
      <c r="AF21" s="6">
        <v>1</v>
      </c>
      <c r="AG21" s="6"/>
      <c r="AH21" s="6" t="s">
        <v>13</v>
      </c>
      <c r="AI21" s="6" t="s">
        <v>51</v>
      </c>
      <c r="AJ21" s="6" t="s">
        <v>85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 t="s">
        <v>8</v>
      </c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 t="s">
        <v>8</v>
      </c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 t="s">
        <v>8</v>
      </c>
      <c r="CC21" s="6"/>
      <c r="CD21" s="6"/>
      <c r="CE21" s="6" t="s">
        <v>8</v>
      </c>
      <c r="CF21" s="6"/>
      <c r="CG21" s="6"/>
      <c r="CH21" s="6" t="s">
        <v>8</v>
      </c>
      <c r="CI21" s="6"/>
      <c r="CJ21" s="6" t="s">
        <v>8</v>
      </c>
      <c r="CK21" s="6"/>
      <c r="CL21" s="6" t="s">
        <v>8</v>
      </c>
      <c r="CM21" s="6"/>
      <c r="CN21" s="6" t="s">
        <v>8</v>
      </c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 t="s">
        <v>8</v>
      </c>
    </row>
    <row r="22" spans="1:120">
      <c r="A22" t="str">
        <f>HYPERLINK(".\links\pep\TI-583-pep.txt","TI-583")</f>
        <v>TI-583</v>
      </c>
      <c r="B22">
        <v>583</v>
      </c>
      <c r="C22" t="s">
        <v>11</v>
      </c>
      <c r="D22">
        <v>44</v>
      </c>
      <c r="E22">
        <v>0</v>
      </c>
      <c r="F22" t="str">
        <f>HYPERLINK(".\links\cds\TI-583-cds.txt","TI-583")</f>
        <v>TI-583</v>
      </c>
      <c r="G22">
        <v>135</v>
      </c>
      <c r="I22" t="s">
        <v>8</v>
      </c>
      <c r="J22" t="s">
        <v>6</v>
      </c>
      <c r="K22">
        <v>2</v>
      </c>
      <c r="L22">
        <v>0</v>
      </c>
      <c r="M22">
        <f t="shared" ref="M22" si="14">K22-L22</f>
        <v>2</v>
      </c>
      <c r="N22">
        <f t="shared" ref="N22" si="15">ABS(K22-L22)</f>
        <v>2</v>
      </c>
      <c r="O22" t="s">
        <v>1360</v>
      </c>
      <c r="P22" t="s">
        <v>1189</v>
      </c>
      <c r="Q22" t="str">
        <f>HYPERLINK(".\links\GO\TI-583-GO.txt","GO")</f>
        <v>GO</v>
      </c>
      <c r="R22">
        <v>3.9999999999999998E-11</v>
      </c>
      <c r="S22">
        <v>10.5</v>
      </c>
      <c r="T22" t="str">
        <f>HYPERLINK(".\links\NR-LIGHT\TI-583-NR-LIGHT.txt","eukaryotic initiation factor 4A-II, putative")</f>
        <v>eukaryotic initiation factor 4A-II, putative</v>
      </c>
      <c r="U22" t="str">
        <f>HYPERLINK("http://www.ncbi.nlm.nih.gov/sutils/blink.cgi?pid=242007840","5E-012")</f>
        <v>5E-012</v>
      </c>
      <c r="V22" t="str">
        <f>HYPERLINK("http://www.ncbi.nlm.nih.gov/protein/242007840","gi|242007840")</f>
        <v>gi|242007840</v>
      </c>
      <c r="W22">
        <v>72</v>
      </c>
      <c r="X22">
        <v>41</v>
      </c>
      <c r="Y22">
        <v>449</v>
      </c>
      <c r="Z22">
        <v>78</v>
      </c>
      <c r="AA22">
        <v>9</v>
      </c>
      <c r="AB22">
        <v>9</v>
      </c>
      <c r="AC22">
        <v>0</v>
      </c>
      <c r="AD22">
        <v>408</v>
      </c>
      <c r="AE22">
        <v>2</v>
      </c>
      <c r="AF22">
        <v>1</v>
      </c>
      <c r="AH22" t="s">
        <v>13</v>
      </c>
      <c r="AI22" t="s">
        <v>51</v>
      </c>
      <c r="AJ22" t="s">
        <v>268</v>
      </c>
      <c r="AK22" t="str">
        <f>HYPERLINK(".\links\SWISSP\TI-583-SWISSP.txt","ATP-dependent RNA helicase fal1 OS=Schizosaccharomyces pombe (strain ATCC 38366")</f>
        <v>ATP-dependent RNA helicase fal1 OS=Schizosaccharomyces pombe (strain ATCC 38366</v>
      </c>
      <c r="AL22" t="str">
        <f>HYPERLINK("http://www.uniprot.org/uniprot/Q10055","5E-012")</f>
        <v>5E-012</v>
      </c>
      <c r="AM22" t="s">
        <v>260</v>
      </c>
      <c r="AN22">
        <v>69.7</v>
      </c>
      <c r="AO22">
        <v>41</v>
      </c>
      <c r="AP22">
        <v>394</v>
      </c>
      <c r="AQ22">
        <v>69</v>
      </c>
      <c r="AR22">
        <v>11</v>
      </c>
      <c r="AS22">
        <v>13</v>
      </c>
      <c r="AT22">
        <v>0</v>
      </c>
      <c r="AU22">
        <v>353</v>
      </c>
      <c r="AV22">
        <v>2</v>
      </c>
      <c r="AW22">
        <v>1</v>
      </c>
      <c r="AX22" t="s">
        <v>159</v>
      </c>
      <c r="AY22" t="str">
        <f>HYPERLINK(".\links\PREV-RHOD-PEP\TI-583-PREV-RHOD-PEP.txt","Contig17157_4")</f>
        <v>Contig17157_4</v>
      </c>
      <c r="AZ22" s="3">
        <v>4.9999999999999999E-20</v>
      </c>
      <c r="BA22" t="s">
        <v>1163</v>
      </c>
      <c r="BB22">
        <v>92.4</v>
      </c>
      <c r="BC22">
        <v>42</v>
      </c>
      <c r="BD22">
        <v>422</v>
      </c>
      <c r="BE22">
        <v>100</v>
      </c>
      <c r="BF22">
        <v>10</v>
      </c>
      <c r="BG22">
        <v>0</v>
      </c>
      <c r="BH22">
        <v>0</v>
      </c>
      <c r="BI22">
        <v>380</v>
      </c>
      <c r="BJ22">
        <v>2</v>
      </c>
      <c r="BK22">
        <v>1</v>
      </c>
      <c r="BL22" t="s">
        <v>969</v>
      </c>
      <c r="BM22">
        <f>HYPERLINK(".\links\GO\TI-583-GO.txt",0.000000000001)</f>
        <v>9.9999999999999998E-13</v>
      </c>
      <c r="BN22" t="s">
        <v>575</v>
      </c>
      <c r="BO22" t="s">
        <v>340</v>
      </c>
      <c r="BP22" t="s">
        <v>576</v>
      </c>
      <c r="BQ22" t="s">
        <v>577</v>
      </c>
      <c r="BR22">
        <v>9.9999999999999998E-13</v>
      </c>
      <c r="BS22" t="s">
        <v>513</v>
      </c>
      <c r="BT22" t="s">
        <v>477</v>
      </c>
      <c r="BU22" t="s">
        <v>477</v>
      </c>
      <c r="BV22" t="s">
        <v>514</v>
      </c>
      <c r="BW22">
        <v>9.9999999999999998E-13</v>
      </c>
      <c r="BX22" t="s">
        <v>515</v>
      </c>
      <c r="BY22" t="s">
        <v>340</v>
      </c>
      <c r="BZ22" t="s">
        <v>576</v>
      </c>
      <c r="CA22" t="s">
        <v>516</v>
      </c>
      <c r="CB22">
        <v>9.9999999999999998E-13</v>
      </c>
      <c r="CC22" t="s">
        <v>8</v>
      </c>
      <c r="CE22" t="s">
        <v>8</v>
      </c>
      <c r="CH22" t="s">
        <v>8</v>
      </c>
      <c r="CJ22" t="s">
        <v>8</v>
      </c>
      <c r="CL22" t="s">
        <v>8</v>
      </c>
      <c r="CN22" t="s">
        <v>8</v>
      </c>
      <c r="DB22" t="s">
        <v>8</v>
      </c>
    </row>
    <row r="23" spans="1:120" s="6" customFormat="1">
      <c r="A23" t="str">
        <f>HYPERLINK(".\links\pep\TI-575-pep.txt","TI-575")</f>
        <v>TI-575</v>
      </c>
      <c r="B23">
        <v>575</v>
      </c>
      <c r="C23" t="s">
        <v>23</v>
      </c>
      <c r="D23">
        <v>93</v>
      </c>
      <c r="E23">
        <v>0</v>
      </c>
      <c r="F23" t="str">
        <f>HYPERLINK(".\links\cds\TI-575-cds.txt","TI-575")</f>
        <v>TI-575</v>
      </c>
      <c r="G23">
        <v>276</v>
      </c>
      <c r="H23"/>
      <c r="I23" t="s">
        <v>8</v>
      </c>
      <c r="J23" t="s">
        <v>8</v>
      </c>
      <c r="K23">
        <v>4</v>
      </c>
      <c r="L23">
        <v>2</v>
      </c>
      <c r="M23">
        <f t="shared" ref="M23" si="16">K23-L23</f>
        <v>2</v>
      </c>
      <c r="N23">
        <f t="shared" ref="N23" si="17">ABS(K23-L23)</f>
        <v>2</v>
      </c>
      <c r="O23" t="s">
        <v>1357</v>
      </c>
      <c r="P23" t="s">
        <v>1172</v>
      </c>
      <c r="Q23" t="str">
        <f>HYPERLINK(".\links\GO\TI-575-GO.txt","GO")</f>
        <v>GO</v>
      </c>
      <c r="R23" s="3">
        <v>9.9999999999999991E-22</v>
      </c>
      <c r="S23">
        <v>41.5</v>
      </c>
      <c r="T23" t="str">
        <f>HYPERLINK(".\links\NR-LIGHT\TI-575-NR-LIGHT.txt","truncated ATPase subunit 6")</f>
        <v>truncated ATPase subunit 6</v>
      </c>
      <c r="U23" t="str">
        <f>HYPERLINK("http://www.ncbi.nlm.nih.gov/sutils/blink.cgi?pid=149898887","3E-034")</f>
        <v>3E-034</v>
      </c>
      <c r="V23" t="str">
        <f>HYPERLINK("http://www.ncbi.nlm.nih.gov/protein/149898887","gi|149898887")</f>
        <v>gi|149898887</v>
      </c>
      <c r="W23">
        <v>145</v>
      </c>
      <c r="X23">
        <v>92</v>
      </c>
      <c r="Y23">
        <v>222</v>
      </c>
      <c r="Z23">
        <v>76</v>
      </c>
      <c r="AA23">
        <v>42</v>
      </c>
      <c r="AB23">
        <v>22</v>
      </c>
      <c r="AC23">
        <v>0</v>
      </c>
      <c r="AD23">
        <v>118</v>
      </c>
      <c r="AE23">
        <v>1</v>
      </c>
      <c r="AF23">
        <v>1</v>
      </c>
      <c r="AG23"/>
      <c r="AH23" t="s">
        <v>13</v>
      </c>
      <c r="AI23" t="s">
        <v>51</v>
      </c>
      <c r="AJ23" t="s">
        <v>273</v>
      </c>
      <c r="AK23" t="str">
        <f>HYPERLINK(".\links\SWISSP\TI-575-SWISSP.txt","ATP synthase subunit a OS=Aedes aegypti GN=mt:ATPase6 PE=2 SV=1")</f>
        <v>ATP synthase subunit a OS=Aedes aegypti GN=mt:ATPase6 PE=2 SV=1</v>
      </c>
      <c r="AL23" t="str">
        <f>HYPERLINK("http://www.uniprot.org/uniprot/Q1HRS5","2E-021")</f>
        <v>2E-021</v>
      </c>
      <c r="AM23" t="s">
        <v>258</v>
      </c>
      <c r="AN23">
        <v>100</v>
      </c>
      <c r="AO23">
        <v>91</v>
      </c>
      <c r="AP23">
        <v>226</v>
      </c>
      <c r="AQ23">
        <v>53</v>
      </c>
      <c r="AR23">
        <v>41</v>
      </c>
      <c r="AS23">
        <v>43</v>
      </c>
      <c r="AT23">
        <v>1</v>
      </c>
      <c r="AU23">
        <v>122</v>
      </c>
      <c r="AV23">
        <v>3</v>
      </c>
      <c r="AW23">
        <v>1</v>
      </c>
      <c r="AX23" t="s">
        <v>76</v>
      </c>
      <c r="AY23" t="s">
        <v>8</v>
      </c>
      <c r="AZ23"/>
      <c r="BA23"/>
      <c r="BB23"/>
      <c r="BC23"/>
      <c r="BD23"/>
      <c r="BE23"/>
      <c r="BF23"/>
      <c r="BG23"/>
      <c r="BH23"/>
      <c r="BI23"/>
      <c r="BJ23"/>
      <c r="BK23"/>
      <c r="BL23" t="s">
        <v>966</v>
      </c>
      <c r="BM23">
        <f>HYPERLINK(".\links\GO\TI-575-GO.txt",1E-21)</f>
        <v>9.9999999999999991E-22</v>
      </c>
      <c r="BN23" t="s">
        <v>548</v>
      </c>
      <c r="BO23" t="s">
        <v>345</v>
      </c>
      <c r="BP23" t="s">
        <v>349</v>
      </c>
      <c r="BQ23" t="s">
        <v>549</v>
      </c>
      <c r="BR23" s="3">
        <v>9.9999999999999991E-22</v>
      </c>
      <c r="BS23" t="s">
        <v>608</v>
      </c>
      <c r="BT23" t="s">
        <v>323</v>
      </c>
      <c r="BU23" t="s">
        <v>334</v>
      </c>
      <c r="BV23" t="s">
        <v>609</v>
      </c>
      <c r="BW23" s="3">
        <v>9.9999999999999991E-22</v>
      </c>
      <c r="BX23" t="s">
        <v>967</v>
      </c>
      <c r="BY23" t="s">
        <v>345</v>
      </c>
      <c r="BZ23" t="s">
        <v>349</v>
      </c>
      <c r="CA23" t="s">
        <v>968</v>
      </c>
      <c r="CB23" s="3">
        <v>9.9999999999999991E-22</v>
      </c>
      <c r="CC23" t="s">
        <v>8</v>
      </c>
      <c r="CD23"/>
      <c r="CE23"/>
      <c r="CF23" t="s">
        <v>8</v>
      </c>
      <c r="CG23"/>
      <c r="CH23"/>
      <c r="CI23" t="s">
        <v>8</v>
      </c>
      <c r="CJ23"/>
      <c r="CK23" t="s">
        <v>8</v>
      </c>
      <c r="CL23"/>
      <c r="CM23" t="s">
        <v>8</v>
      </c>
      <c r="CN23"/>
      <c r="CO23" t="str">
        <f>HYPERLINK(".\links\MIT-PLA\TI-575-MIT-PLA.txt","Triatoma infestans clone TI-81 truncated ATPase subunit 6 mRNA, partial cds;")</f>
        <v>Triatoma infestans clone TI-81 truncated ATPase subunit 6 mRNA, partial cds;</v>
      </c>
      <c r="CP23" t="str">
        <f>HYPERLINK("http://www.ncbi.nlm.nih.gov/entrez/viewer.fcgi?db=nucleotide&amp;val=149898886","1E-123")</f>
        <v>1E-123</v>
      </c>
      <c r="CQ23" t="str">
        <f>HYPERLINK("http://www.ncbi.nlm.nih.gov/entrez/viewer.fcgi?db=nucleotide&amp;val=149898886","gi|149898886")</f>
        <v>gi|149898886</v>
      </c>
      <c r="CR23">
        <v>436</v>
      </c>
      <c r="CS23">
        <v>275</v>
      </c>
      <c r="CT23">
        <v>666</v>
      </c>
      <c r="CU23">
        <v>94</v>
      </c>
      <c r="CV23">
        <v>41</v>
      </c>
      <c r="CW23">
        <v>14</v>
      </c>
      <c r="CX23">
        <v>0</v>
      </c>
      <c r="CY23">
        <v>352</v>
      </c>
      <c r="CZ23">
        <v>1</v>
      </c>
      <c r="DA23">
        <v>1</v>
      </c>
      <c r="DB23" t="s">
        <v>51</v>
      </c>
      <c r="DC23" t="s">
        <v>8</v>
      </c>
      <c r="DD23"/>
      <c r="DE23"/>
      <c r="DF23"/>
      <c r="DG23"/>
      <c r="DH23"/>
      <c r="DI23"/>
      <c r="DJ23"/>
      <c r="DK23"/>
      <c r="DL23"/>
      <c r="DM23"/>
      <c r="DN23"/>
      <c r="DO23"/>
    </row>
    <row r="24" spans="1:120" s="6" customFormat="1">
      <c r="A24" t="str">
        <f>HYPERLINK(".\links\pep\TI-536-pep.txt","TI-536")</f>
        <v>TI-536</v>
      </c>
      <c r="B24">
        <v>536</v>
      </c>
      <c r="C24" t="s">
        <v>12</v>
      </c>
      <c r="D24">
        <v>137</v>
      </c>
      <c r="E24">
        <v>0</v>
      </c>
      <c r="F24" t="str">
        <f>HYPERLINK(".\links\cds\TI-536-cds.txt","TI-536")</f>
        <v>TI-536</v>
      </c>
      <c r="G24">
        <v>414</v>
      </c>
      <c r="H24"/>
      <c r="I24" t="s">
        <v>8</v>
      </c>
      <c r="J24" t="s">
        <v>6</v>
      </c>
      <c r="K24">
        <v>3</v>
      </c>
      <c r="L24">
        <v>1</v>
      </c>
      <c r="M24">
        <f t="shared" ref="M24" si="18">K24-L24</f>
        <v>2</v>
      </c>
      <c r="N24">
        <f t="shared" ref="N24" si="19">ABS(K24-L24)</f>
        <v>2</v>
      </c>
      <c r="O24" t="s">
        <v>1239</v>
      </c>
      <c r="P24" t="s">
        <v>1178</v>
      </c>
      <c r="Q24" t="str">
        <f>HYPERLINK(".\links\NR-LIGHT\TI-536-NR-LIGHT.txt","NR-LIGHT")</f>
        <v>NR-LIGHT</v>
      </c>
      <c r="R24" s="3">
        <v>9.9999999999999997E-29</v>
      </c>
      <c r="S24">
        <v>50.3</v>
      </c>
      <c r="T24" t="str">
        <f>HYPERLINK(".\links\NR-LIGHT\TI-536-NR-LIGHT.txt","similar to CG41536 CG41536-PA")</f>
        <v>similar to CG41536 CG41536-PA</v>
      </c>
      <c r="U24" t="str">
        <f>HYPERLINK("http://www.ncbi.nlm.nih.gov/sutils/blink.cgi?pid=189242281","1E-028")</f>
        <v>1E-028</v>
      </c>
      <c r="V24" t="str">
        <f>HYPERLINK("http://www.ncbi.nlm.nih.gov/protein/189242281","gi|189242281")</f>
        <v>gi|189242281</v>
      </c>
      <c r="W24">
        <v>127</v>
      </c>
      <c r="X24">
        <v>78</v>
      </c>
      <c r="Y24">
        <v>159</v>
      </c>
      <c r="Z24">
        <v>77</v>
      </c>
      <c r="AA24">
        <v>50</v>
      </c>
      <c r="AB24">
        <v>18</v>
      </c>
      <c r="AC24">
        <v>1</v>
      </c>
      <c r="AD24">
        <v>79</v>
      </c>
      <c r="AE24">
        <v>5</v>
      </c>
      <c r="AF24">
        <v>1</v>
      </c>
      <c r="AG24"/>
      <c r="AH24" t="s">
        <v>13</v>
      </c>
      <c r="AI24" t="s">
        <v>51</v>
      </c>
      <c r="AJ24" t="s">
        <v>266</v>
      </c>
      <c r="AK24" t="str">
        <f>HYPERLINK(".\links\SWISSP\TI-536-SWISSP.txt","Putative uncharacterized protein ART2 OS=Saccharomyces cerevisiae (strain ATCC")</f>
        <v>Putative uncharacterized protein ART2 OS=Saccharomyces cerevisiae (strain ATCC</v>
      </c>
      <c r="AL24" t="str">
        <f>HYPERLINK("http://www.uniprot.org/uniprot/Q8TGM7","7E-010")</f>
        <v>7E-010</v>
      </c>
      <c r="AM24" t="s">
        <v>249</v>
      </c>
      <c r="AN24">
        <v>62.4</v>
      </c>
      <c r="AO24">
        <v>52</v>
      </c>
      <c r="AP24">
        <v>61</v>
      </c>
      <c r="AQ24">
        <v>58</v>
      </c>
      <c r="AR24">
        <v>87</v>
      </c>
      <c r="AS24">
        <v>22</v>
      </c>
      <c r="AT24">
        <v>0</v>
      </c>
      <c r="AU24">
        <v>6</v>
      </c>
      <c r="AV24">
        <v>19</v>
      </c>
      <c r="AW24">
        <v>1</v>
      </c>
      <c r="AX24" t="s">
        <v>148</v>
      </c>
      <c r="AY24" t="s">
        <v>8</v>
      </c>
      <c r="AZ24"/>
      <c r="BA24"/>
      <c r="BB24"/>
      <c r="BC24"/>
      <c r="BD24"/>
      <c r="BE24"/>
      <c r="BF24"/>
      <c r="BG24"/>
      <c r="BH24"/>
      <c r="BI24"/>
      <c r="BJ24"/>
      <c r="BK24"/>
      <c r="BL24" t="s">
        <v>949</v>
      </c>
      <c r="BM24">
        <f>HYPERLINK(".\links\GO\TI-536-GO.txt",0.00000005)</f>
        <v>4.9999999999999998E-8</v>
      </c>
      <c r="BN24" t="s">
        <v>373</v>
      </c>
      <c r="BO24" t="s">
        <v>373</v>
      </c>
      <c r="BP24"/>
      <c r="BQ24" t="s">
        <v>374</v>
      </c>
      <c r="BR24">
        <v>4.9999999999999998E-8</v>
      </c>
      <c r="BS24" t="s">
        <v>375</v>
      </c>
      <c r="BT24" t="s">
        <v>375</v>
      </c>
      <c r="BU24"/>
      <c r="BV24" t="s">
        <v>376</v>
      </c>
      <c r="BW24">
        <v>4.9999999999999998E-8</v>
      </c>
      <c r="BX24" t="s">
        <v>380</v>
      </c>
      <c r="BY24" t="s">
        <v>373</v>
      </c>
      <c r="BZ24"/>
      <c r="CA24" t="s">
        <v>381</v>
      </c>
      <c r="CB24">
        <v>4.9999999999999998E-8</v>
      </c>
      <c r="CC24" t="s">
        <v>8</v>
      </c>
      <c r="CD24"/>
      <c r="CE24"/>
      <c r="CF24" t="s">
        <v>8</v>
      </c>
      <c r="CG24"/>
      <c r="CH24"/>
      <c r="CI24" t="s">
        <v>8</v>
      </c>
      <c r="CJ24"/>
      <c r="CK24" t="s">
        <v>8</v>
      </c>
      <c r="CL24"/>
      <c r="CM24" t="s">
        <v>8</v>
      </c>
      <c r="CN24"/>
      <c r="CO24" t="s">
        <v>8</v>
      </c>
      <c r="CP24"/>
      <c r="CQ24"/>
      <c r="CR24"/>
      <c r="CS24"/>
      <c r="CT24"/>
      <c r="CU24"/>
      <c r="CV24"/>
      <c r="CW24"/>
      <c r="CX24"/>
      <c r="CY24"/>
      <c r="CZ24"/>
      <c r="DA24"/>
      <c r="DB24"/>
      <c r="DC24" t="str">
        <f>HYPERLINK(".\links\RRNA\TI-536-RRNA.txt","Drosophila persimilis ribosomal RNA (Dper\28SrRNA:GL28069), rRNA")</f>
        <v>Drosophila persimilis ribosomal RNA (Dper\28SrRNA:GL28069), rRNA</v>
      </c>
      <c r="DD24" t="str">
        <f>HYPERLINK("http://www.ncbi.nlm.nih.gov/entrez/viewer.fcgi?db=nucleotide&amp;val=195176023","5E-040")</f>
        <v>5E-040</v>
      </c>
      <c r="DE24" t="str">
        <f>HYPERLINK("http://www.ncbi.nlm.nih.gov/entrez/viewer.fcgi?db=nucleotide&amp;val=195176023","gi|195176023")</f>
        <v>gi|195176023</v>
      </c>
      <c r="DF24">
        <v>163</v>
      </c>
      <c r="DG24">
        <v>205</v>
      </c>
      <c r="DH24">
        <v>3969</v>
      </c>
      <c r="DI24">
        <v>84</v>
      </c>
      <c r="DJ24">
        <v>5</v>
      </c>
      <c r="DK24">
        <v>31</v>
      </c>
      <c r="DL24">
        <v>0</v>
      </c>
      <c r="DM24">
        <v>3110</v>
      </c>
      <c r="DN24">
        <v>1</v>
      </c>
      <c r="DO24">
        <v>1</v>
      </c>
      <c r="DP24" t="s">
        <v>981</v>
      </c>
    </row>
    <row r="25" spans="1:120">
      <c r="A25" s="6" t="str">
        <f>HYPERLINK(".\links\pep\TI-531-pep.txt","TI-531")</f>
        <v>TI-531</v>
      </c>
      <c r="B25" s="6">
        <v>531</v>
      </c>
      <c r="C25" s="6" t="s">
        <v>26</v>
      </c>
      <c r="D25" s="6">
        <v>255</v>
      </c>
      <c r="E25" s="6">
        <v>0</v>
      </c>
      <c r="F25" s="6" t="str">
        <f>HYPERLINK(".\links\cds\TI-531-cds.txt","TI-531")</f>
        <v>TI-531</v>
      </c>
      <c r="G25" s="6">
        <v>768</v>
      </c>
      <c r="H25" s="6"/>
      <c r="I25" s="6" t="s">
        <v>8</v>
      </c>
      <c r="J25" s="6" t="s">
        <v>6</v>
      </c>
      <c r="K25" s="6">
        <v>3</v>
      </c>
      <c r="L25" s="6">
        <v>1</v>
      </c>
      <c r="M25">
        <f t="shared" ref="M25" si="20">K25-L25</f>
        <v>2</v>
      </c>
      <c r="N25">
        <f t="shared" ref="N25" si="21">ABS(K25-L25)</f>
        <v>2</v>
      </c>
      <c r="O25" s="6" t="s">
        <v>1170</v>
      </c>
      <c r="P25" s="6" t="s">
        <v>1171</v>
      </c>
      <c r="Q25" s="6"/>
      <c r="R25" s="6"/>
      <c r="S25" s="6"/>
      <c r="T25" s="6" t="str">
        <f>HYPERLINK(".\links\NR-LIGHT\TI-531-NR-LIGHT.txt","hypothetical protein DAPPUDRAFT_308200")</f>
        <v>hypothetical protein DAPPUDRAFT_308200</v>
      </c>
      <c r="U25" s="6" t="str">
        <f>HYPERLINK("http://www.ncbi.nlm.nih.gov/sutils/blink.cgi?pid=321461569","2E-005")</f>
        <v>2E-005</v>
      </c>
      <c r="V25" s="6" t="str">
        <f>HYPERLINK("http://www.ncbi.nlm.nih.gov/protein/321461569","gi|321461569")</f>
        <v>gi|321461569</v>
      </c>
      <c r="W25" s="6">
        <v>51.6</v>
      </c>
      <c r="X25" s="6">
        <v>114</v>
      </c>
      <c r="Y25" s="6">
        <v>450</v>
      </c>
      <c r="Z25" s="6">
        <v>26</v>
      </c>
      <c r="AA25" s="6">
        <v>26</v>
      </c>
      <c r="AB25" s="6">
        <v>84</v>
      </c>
      <c r="AC25" s="6">
        <v>7</v>
      </c>
      <c r="AD25" s="6">
        <v>37</v>
      </c>
      <c r="AE25" s="6">
        <v>36</v>
      </c>
      <c r="AF25" s="6">
        <v>1</v>
      </c>
      <c r="AG25" s="6"/>
      <c r="AH25" s="6" t="s">
        <v>13</v>
      </c>
      <c r="AI25" s="6" t="s">
        <v>51</v>
      </c>
      <c r="AJ25" s="6" t="s">
        <v>270</v>
      </c>
      <c r="AK25" s="6" t="s">
        <v>8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 t="str">
        <f>HYPERLINK(".\links\PREV-RHOD-PEP\TI-531-PREV-RHOD-PEP.txt","Contig17963_39")</f>
        <v>Contig17963_39</v>
      </c>
      <c r="AZ25" s="8">
        <v>2E-55</v>
      </c>
      <c r="BA25" s="6" t="s">
        <v>1155</v>
      </c>
      <c r="BB25" s="6">
        <v>211</v>
      </c>
      <c r="BC25" s="6">
        <v>133</v>
      </c>
      <c r="BD25" s="6">
        <v>225</v>
      </c>
      <c r="BE25" s="6">
        <v>74</v>
      </c>
      <c r="BF25" s="6">
        <v>60</v>
      </c>
      <c r="BG25" s="6">
        <v>35</v>
      </c>
      <c r="BH25" s="6">
        <v>1</v>
      </c>
      <c r="BI25" s="6">
        <v>1</v>
      </c>
      <c r="BJ25" s="6">
        <v>6</v>
      </c>
      <c r="BK25" s="6">
        <v>1</v>
      </c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 t="s">
        <v>8</v>
      </c>
      <c r="CC25" s="6"/>
      <c r="CD25" s="6"/>
      <c r="CE25" s="6" t="s">
        <v>8</v>
      </c>
      <c r="CF25" s="6"/>
      <c r="CG25" s="6"/>
      <c r="CH25" s="6" t="s">
        <v>8</v>
      </c>
      <c r="CI25" s="6"/>
      <c r="CJ25" s="6" t="s">
        <v>8</v>
      </c>
      <c r="CK25" s="6"/>
      <c r="CL25" s="6" t="s">
        <v>8</v>
      </c>
      <c r="CM25" s="6"/>
      <c r="CN25" s="6" t="s">
        <v>8</v>
      </c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 t="s">
        <v>8</v>
      </c>
      <c r="DC25" s="6"/>
      <c r="DD25" s="6"/>
      <c r="DE25" s="6"/>
      <c r="DF25" s="6"/>
      <c r="DG25" s="6"/>
      <c r="DH25" s="6"/>
    </row>
    <row r="26" spans="1:120">
      <c r="A26" t="str">
        <f>HYPERLINK(".\links\pep\TI-449-pep.txt","TI-449")</f>
        <v>TI-449</v>
      </c>
      <c r="B26">
        <v>449</v>
      </c>
      <c r="C26" t="s">
        <v>22</v>
      </c>
      <c r="D26">
        <v>149</v>
      </c>
      <c r="E26">
        <v>0</v>
      </c>
      <c r="F26" t="str">
        <f>HYPERLINK(".\links\cds\TI-449-cds.txt","TI-449")</f>
        <v>TI-449</v>
      </c>
      <c r="G26">
        <v>450</v>
      </c>
      <c r="I26" t="s">
        <v>8</v>
      </c>
      <c r="J26" t="s">
        <v>6</v>
      </c>
      <c r="K26">
        <v>2</v>
      </c>
      <c r="L26">
        <v>0</v>
      </c>
      <c r="M26">
        <f t="shared" ref="M26" si="22">K26-L26</f>
        <v>2</v>
      </c>
      <c r="N26">
        <f t="shared" ref="N26" si="23">ABS(K26-L26)</f>
        <v>2</v>
      </c>
      <c r="O26" t="s">
        <v>1337</v>
      </c>
      <c r="P26" t="s">
        <v>1181</v>
      </c>
      <c r="Q26" t="str">
        <f>HYPERLINK(".\links\GO\TI-449-GO.txt","GO")</f>
        <v>GO</v>
      </c>
      <c r="R26" s="3">
        <v>3E-32</v>
      </c>
      <c r="S26">
        <v>47.7</v>
      </c>
      <c r="T26" t="str">
        <f>HYPERLINK(".\links\NR-LIGHT\TI-449-NR-LIGHT.txt","aldo-keto reductase family 1 member B10-like")</f>
        <v>aldo-keto reductase family 1 member B10-like</v>
      </c>
      <c r="U26" t="str">
        <f>HYPERLINK("http://www.ncbi.nlm.nih.gov/sutils/blink.cgi?pid=193601268","2E-039")</f>
        <v>2E-039</v>
      </c>
      <c r="V26" t="str">
        <f>HYPERLINK("http://www.ncbi.nlm.nih.gov/protein/193601268","gi|193601268")</f>
        <v>gi|193601268</v>
      </c>
      <c r="W26">
        <v>162</v>
      </c>
      <c r="X26">
        <v>142</v>
      </c>
      <c r="Y26">
        <v>320</v>
      </c>
      <c r="Z26">
        <v>55</v>
      </c>
      <c r="AA26">
        <v>45</v>
      </c>
      <c r="AB26">
        <v>64</v>
      </c>
      <c r="AC26">
        <v>1</v>
      </c>
      <c r="AD26">
        <v>164</v>
      </c>
      <c r="AE26">
        <v>1</v>
      </c>
      <c r="AF26">
        <v>1</v>
      </c>
      <c r="AH26" t="s">
        <v>13</v>
      </c>
      <c r="AI26" t="s">
        <v>51</v>
      </c>
      <c r="AJ26" t="s">
        <v>264</v>
      </c>
      <c r="AK26" t="str">
        <f>HYPERLINK(".\links\SWISSP\TI-449-SWISSP.txt","Aldose reductase OS=Bos taurus GN=AKR1B1 PE=1 SV=1")</f>
        <v>Aldose reductase OS=Bos taurus GN=AKR1B1 PE=1 SV=1</v>
      </c>
      <c r="AL26" t="str">
        <f>HYPERLINK("http://www.uniprot.org/uniprot/P16116","7E-033")</f>
        <v>7E-033</v>
      </c>
      <c r="AM26" t="s">
        <v>233</v>
      </c>
      <c r="AN26">
        <v>139</v>
      </c>
      <c r="AO26">
        <v>149</v>
      </c>
      <c r="AP26">
        <v>315</v>
      </c>
      <c r="AQ26">
        <v>47</v>
      </c>
      <c r="AR26">
        <v>48</v>
      </c>
      <c r="AS26">
        <v>79</v>
      </c>
      <c r="AT26">
        <v>3</v>
      </c>
      <c r="AU26">
        <v>157</v>
      </c>
      <c r="AV26">
        <v>1</v>
      </c>
      <c r="AW26">
        <v>1</v>
      </c>
      <c r="AX26" t="s">
        <v>64</v>
      </c>
      <c r="AY26" t="str">
        <f>HYPERLINK(".\links\PREV-RHOD-PEP\TI-449-PREV-RHOD-PEP.txt","Contig5015_1")</f>
        <v>Contig5015_1</v>
      </c>
      <c r="AZ26" s="3">
        <v>3.9999999999999999E-64</v>
      </c>
      <c r="BA26" t="s">
        <v>1142</v>
      </c>
      <c r="BB26">
        <v>239</v>
      </c>
      <c r="BC26">
        <v>143</v>
      </c>
      <c r="BD26">
        <v>313</v>
      </c>
      <c r="BE26">
        <v>81</v>
      </c>
      <c r="BF26">
        <v>46</v>
      </c>
      <c r="BG26">
        <v>27</v>
      </c>
      <c r="BH26">
        <v>0</v>
      </c>
      <c r="BI26">
        <v>160</v>
      </c>
      <c r="BJ26">
        <v>1</v>
      </c>
      <c r="BK26">
        <v>1</v>
      </c>
      <c r="BL26" t="s">
        <v>899</v>
      </c>
      <c r="BM26">
        <f>HYPERLINK(".\links\GO\TI-449-GO.txt",6E-33)</f>
        <v>6.0000000000000003E-33</v>
      </c>
      <c r="BN26" t="s">
        <v>900</v>
      </c>
      <c r="BO26" t="s">
        <v>345</v>
      </c>
      <c r="BP26" t="s">
        <v>368</v>
      </c>
      <c r="BQ26" t="s">
        <v>901</v>
      </c>
      <c r="BR26" s="3">
        <v>3E-32</v>
      </c>
      <c r="BS26" t="s">
        <v>861</v>
      </c>
      <c r="BT26" t="s">
        <v>501</v>
      </c>
      <c r="BU26" t="s">
        <v>752</v>
      </c>
      <c r="BV26" t="s">
        <v>862</v>
      </c>
      <c r="BW26" s="3">
        <v>3E-32</v>
      </c>
      <c r="BX26" t="s">
        <v>902</v>
      </c>
      <c r="BY26" t="s">
        <v>345</v>
      </c>
      <c r="BZ26" t="s">
        <v>368</v>
      </c>
      <c r="CA26" t="s">
        <v>903</v>
      </c>
      <c r="CB26" s="3">
        <v>3E-32</v>
      </c>
      <c r="CC26" t="s">
        <v>8</v>
      </c>
      <c r="CF26" t="s">
        <v>8</v>
      </c>
      <c r="CI26" t="s">
        <v>8</v>
      </c>
      <c r="CK26" t="s">
        <v>8</v>
      </c>
      <c r="CM26" t="s">
        <v>8</v>
      </c>
      <c r="CO26" t="s">
        <v>8</v>
      </c>
      <c r="DC26" t="s">
        <v>8</v>
      </c>
    </row>
    <row r="27" spans="1:120">
      <c r="A27" s="6" t="str">
        <f>HYPERLINK(".\links\pep\TI-427-pep.txt","TI-427")</f>
        <v>TI-427</v>
      </c>
      <c r="B27" s="6">
        <v>427</v>
      </c>
      <c r="C27" s="6" t="s">
        <v>16</v>
      </c>
      <c r="D27" s="6">
        <v>24</v>
      </c>
      <c r="E27" s="6">
        <v>0</v>
      </c>
      <c r="F27" s="6" t="str">
        <f>HYPERLINK(".\links\cds\TI-427-cds.txt","TI-427")</f>
        <v>TI-427</v>
      </c>
      <c r="G27" s="6">
        <v>75</v>
      </c>
      <c r="H27" s="6"/>
      <c r="I27" s="6" t="s">
        <v>8</v>
      </c>
      <c r="J27" s="6" t="s">
        <v>6</v>
      </c>
      <c r="K27" s="6">
        <v>2</v>
      </c>
      <c r="L27" s="6">
        <v>0</v>
      </c>
      <c r="M27">
        <f t="shared" ref="M27" si="24">K27-L27</f>
        <v>2</v>
      </c>
      <c r="N27">
        <f t="shared" ref="N27" si="25">ABS(K27-L27)</f>
        <v>2</v>
      </c>
      <c r="O27" s="6" t="s">
        <v>1170</v>
      </c>
      <c r="P27" s="6" t="s">
        <v>1171</v>
      </c>
      <c r="Q27" s="6"/>
      <c r="R27" s="6"/>
      <c r="S27" s="6" t="s">
        <v>8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 t="s">
        <v>8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 t="s">
        <v>8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 t="s">
        <v>8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 t="s">
        <v>8</v>
      </c>
      <c r="CC27" s="6"/>
      <c r="CD27" s="6"/>
      <c r="CE27" s="6" t="s">
        <v>8</v>
      </c>
      <c r="CF27" s="6"/>
      <c r="CG27" s="6"/>
      <c r="CH27" s="6" t="s">
        <v>8</v>
      </c>
      <c r="CI27" s="6"/>
      <c r="CJ27" s="6" t="s">
        <v>8</v>
      </c>
      <c r="CK27" s="6"/>
      <c r="CL27" s="6" t="s">
        <v>8</v>
      </c>
      <c r="CM27" s="6"/>
      <c r="CN27" s="6" t="s">
        <v>8</v>
      </c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 t="s">
        <v>8</v>
      </c>
      <c r="DC27" s="6"/>
    </row>
    <row r="28" spans="1:120">
      <c r="A28" t="str">
        <f>HYPERLINK(".\links\pep\TI-40-pep.txt","TI-40")</f>
        <v>TI-40</v>
      </c>
      <c r="B28">
        <v>40</v>
      </c>
      <c r="C28" t="s">
        <v>26</v>
      </c>
      <c r="D28">
        <v>233</v>
      </c>
      <c r="E28">
        <v>0</v>
      </c>
      <c r="F28" t="str">
        <f>HYPERLINK(".\links\cds\TI-40-cds.txt","TI-40")</f>
        <v>TI-40</v>
      </c>
      <c r="G28">
        <v>697</v>
      </c>
      <c r="I28" t="s">
        <v>8</v>
      </c>
      <c r="J28" t="s">
        <v>8</v>
      </c>
      <c r="K28">
        <v>2</v>
      </c>
      <c r="L28">
        <v>0</v>
      </c>
      <c r="M28">
        <f t="shared" ref="M28" si="26">K28-L28</f>
        <v>2</v>
      </c>
      <c r="N28">
        <f t="shared" ref="N28" si="27">ABS(K28-L28)</f>
        <v>2</v>
      </c>
      <c r="O28" t="s">
        <v>1182</v>
      </c>
      <c r="P28" t="s">
        <v>1169</v>
      </c>
      <c r="Q28" t="str">
        <f>HYPERLINK(".\links\GO\TI-40-GO.txt","GO")</f>
        <v>GO</v>
      </c>
      <c r="R28" s="3">
        <v>2.9999999999999999E-41</v>
      </c>
      <c r="S28">
        <v>3</v>
      </c>
      <c r="T28" t="str">
        <f>HYPERLINK(".\links\NR-LIGHT\TI-40-NR-LIGHT.txt","hypothetical protein TcasGA2_TC012900")</f>
        <v>hypothetical protein TcasGA2_TC012900</v>
      </c>
      <c r="U28" t="str">
        <f>HYPERLINK("http://www.ncbi.nlm.nih.gov/sutils/blink.cgi?pid=270016051","1E-074")</f>
        <v>1E-074</v>
      </c>
      <c r="V28" t="str">
        <f>HYPERLINK("http://www.ncbi.nlm.nih.gov/protein/270016051","gi|270016051")</f>
        <v>gi|270016051</v>
      </c>
      <c r="W28">
        <v>281</v>
      </c>
      <c r="X28">
        <v>228</v>
      </c>
      <c r="Y28">
        <v>1457</v>
      </c>
      <c r="Z28">
        <v>62</v>
      </c>
      <c r="AA28">
        <v>16</v>
      </c>
      <c r="AB28">
        <v>87</v>
      </c>
      <c r="AC28">
        <v>10</v>
      </c>
      <c r="AD28">
        <v>1085</v>
      </c>
      <c r="AE28">
        <v>15</v>
      </c>
      <c r="AF28">
        <v>1</v>
      </c>
      <c r="AH28" t="s">
        <v>13</v>
      </c>
      <c r="AI28" t="s">
        <v>51</v>
      </c>
      <c r="AJ28" t="s">
        <v>266</v>
      </c>
      <c r="AK28" t="str">
        <f>HYPERLINK(".\links\SWISSP\TI-40-SWISSP.txt","Midasin OS=Homo sapiens GN=MDN1 PE=1 SV=2")</f>
        <v>Midasin OS=Homo sapiens GN=MDN1 PE=1 SV=2</v>
      </c>
      <c r="AL28" t="str">
        <f>HYPERLINK("http://www.uniprot.org/uniprot/Q9NU22","7E-053")</f>
        <v>7E-053</v>
      </c>
      <c r="AM28" t="s">
        <v>119</v>
      </c>
      <c r="AN28">
        <v>207</v>
      </c>
      <c r="AO28">
        <v>164</v>
      </c>
      <c r="AP28">
        <v>5596</v>
      </c>
      <c r="AQ28">
        <v>60</v>
      </c>
      <c r="AR28">
        <v>3</v>
      </c>
      <c r="AS28">
        <v>66</v>
      </c>
      <c r="AT28">
        <v>7</v>
      </c>
      <c r="AU28">
        <v>5284</v>
      </c>
      <c r="AV28">
        <v>74</v>
      </c>
      <c r="AW28">
        <v>1</v>
      </c>
      <c r="AX28" t="s">
        <v>68</v>
      </c>
      <c r="AY28" t="str">
        <f>HYPERLINK(".\links\PREV-RHOD-PEP\TI-40-PREV-RHOD-PEP.txt","Contig17834_1")</f>
        <v>Contig17834_1</v>
      </c>
      <c r="AZ28" s="3">
        <v>9.9999999999999999E-119</v>
      </c>
      <c r="BA28" t="s">
        <v>1035</v>
      </c>
      <c r="BB28">
        <v>420</v>
      </c>
      <c r="BC28">
        <v>222</v>
      </c>
      <c r="BD28">
        <v>1363</v>
      </c>
      <c r="BE28">
        <v>91</v>
      </c>
      <c r="BF28">
        <v>16</v>
      </c>
      <c r="BG28">
        <v>19</v>
      </c>
      <c r="BH28">
        <v>1</v>
      </c>
      <c r="BI28">
        <v>909</v>
      </c>
      <c r="BJ28">
        <v>12</v>
      </c>
      <c r="BK28">
        <v>1</v>
      </c>
      <c r="BL28" t="s">
        <v>542</v>
      </c>
      <c r="BM28">
        <f>HYPERLINK(".\links\GO\TI-40-GO.txt",2E-44)</f>
        <v>1.9999999999999999E-44</v>
      </c>
      <c r="BN28" t="s">
        <v>543</v>
      </c>
      <c r="BO28" t="s">
        <v>345</v>
      </c>
      <c r="BP28" t="s">
        <v>349</v>
      </c>
      <c r="BQ28" t="s">
        <v>544</v>
      </c>
      <c r="BR28" s="3">
        <v>1.9999999999999999E-44</v>
      </c>
      <c r="BS28" t="s">
        <v>447</v>
      </c>
      <c r="BT28" t="s">
        <v>323</v>
      </c>
      <c r="BU28" t="s">
        <v>334</v>
      </c>
      <c r="BV28" t="s">
        <v>448</v>
      </c>
      <c r="BW28" s="3">
        <v>1.9999999999999999E-44</v>
      </c>
      <c r="BX28" t="s">
        <v>545</v>
      </c>
      <c r="BY28" t="s">
        <v>345</v>
      </c>
      <c r="BZ28" t="s">
        <v>349</v>
      </c>
      <c r="CA28" t="s">
        <v>546</v>
      </c>
      <c r="CB28" s="3">
        <v>1.9999999999999999E-44</v>
      </c>
      <c r="CC28" t="s">
        <v>8</v>
      </c>
      <c r="CF28" t="s">
        <v>8</v>
      </c>
      <c r="CH28" t="s">
        <v>8</v>
      </c>
      <c r="CJ28" t="s">
        <v>8</v>
      </c>
      <c r="CL28" t="s">
        <v>8</v>
      </c>
      <c r="CN28" t="s">
        <v>8</v>
      </c>
      <c r="DB28" t="s">
        <v>8</v>
      </c>
    </row>
    <row r="29" spans="1:120">
      <c r="A29" s="6" t="str">
        <f>HYPERLINK(".\links\pep\TI-387-pep.txt","TI-387")</f>
        <v>TI-387</v>
      </c>
      <c r="B29" s="6">
        <v>387</v>
      </c>
      <c r="C29" s="6" t="s">
        <v>12</v>
      </c>
      <c r="D29" s="6">
        <v>15</v>
      </c>
      <c r="E29" s="6">
        <v>0</v>
      </c>
      <c r="F29" s="6" t="str">
        <f>HYPERLINK(".\links\cds\TI-387-cds.txt","TI-387")</f>
        <v>TI-387</v>
      </c>
      <c r="G29" s="6">
        <v>44</v>
      </c>
      <c r="H29" s="6"/>
      <c r="I29" s="6" t="s">
        <v>8</v>
      </c>
      <c r="J29" s="6" t="s">
        <v>8</v>
      </c>
      <c r="K29" s="6">
        <v>2</v>
      </c>
      <c r="L29" s="6">
        <v>0</v>
      </c>
      <c r="M29">
        <f t="shared" ref="M29" si="28">K29-L29</f>
        <v>2</v>
      </c>
      <c r="N29">
        <f t="shared" ref="N29" si="29">ABS(K29-L29)</f>
        <v>2</v>
      </c>
      <c r="O29" s="6" t="s">
        <v>1170</v>
      </c>
      <c r="P29" s="6" t="s">
        <v>1171</v>
      </c>
      <c r="Q29" s="6"/>
      <c r="R29" s="6"/>
      <c r="S29" s="6" t="s">
        <v>8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 t="s">
        <v>8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 t="s">
        <v>8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 t="s">
        <v>8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 t="s">
        <v>8</v>
      </c>
      <c r="CC29" s="6"/>
      <c r="CD29" s="6"/>
      <c r="CE29" s="6" t="s">
        <v>8</v>
      </c>
      <c r="CF29" s="6"/>
      <c r="CG29" s="6"/>
      <c r="CH29" s="6" t="s">
        <v>8</v>
      </c>
      <c r="CI29" s="6"/>
      <c r="CJ29" s="6" t="s">
        <v>8</v>
      </c>
      <c r="CK29" s="6"/>
      <c r="CL29" s="6" t="s">
        <v>8</v>
      </c>
      <c r="CM29" s="6"/>
      <c r="CN29" s="6" t="s">
        <v>8</v>
      </c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 t="s">
        <v>8</v>
      </c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</row>
    <row r="30" spans="1:120">
      <c r="A30" t="str">
        <f>HYPERLINK(".\links\pep\TI-382-pep.txt","TI-382")</f>
        <v>TI-382</v>
      </c>
      <c r="B30">
        <v>382</v>
      </c>
      <c r="C30" t="s">
        <v>7</v>
      </c>
      <c r="D30">
        <v>90</v>
      </c>
      <c r="E30">
        <v>0</v>
      </c>
      <c r="F30" t="str">
        <f>HYPERLINK(".\links\cds\TI-382-cds.txt","TI-382")</f>
        <v>TI-382</v>
      </c>
      <c r="G30">
        <v>273</v>
      </c>
      <c r="I30" t="s">
        <v>29</v>
      </c>
      <c r="J30" t="s">
        <v>6</v>
      </c>
      <c r="K30">
        <v>2</v>
      </c>
      <c r="L30">
        <v>0</v>
      </c>
      <c r="M30">
        <f t="shared" ref="M30" si="30">K30-L30</f>
        <v>2</v>
      </c>
      <c r="N30">
        <f t="shared" ref="N30" si="31">ABS(K30-L30)</f>
        <v>2</v>
      </c>
      <c r="O30" t="s">
        <v>1325</v>
      </c>
      <c r="P30" t="s">
        <v>1172</v>
      </c>
      <c r="Q30" t="str">
        <f>HYPERLINK(".\links\GO\TI-382-GO.txt","GO")</f>
        <v>GO</v>
      </c>
      <c r="R30" s="3">
        <v>3.0000000000000003E-20</v>
      </c>
      <c r="S30">
        <v>16.2</v>
      </c>
      <c r="T30" t="str">
        <f>HYPERLINK(".\links\NR-LIGHT\TI-382-NR-LIGHT.txt","hypothetical protein TcasGA2_TC000583")</f>
        <v>hypothetical protein TcasGA2_TC000583</v>
      </c>
      <c r="U30" t="str">
        <f>HYPERLINK("http://www.ncbi.nlm.nih.gov/sutils/blink.cgi?pid=270001710","2E-022")</f>
        <v>2E-022</v>
      </c>
      <c r="V30" t="str">
        <f>HYPERLINK("http://www.ncbi.nlm.nih.gov/protein/270001710","gi|270001710")</f>
        <v>gi|270001710</v>
      </c>
      <c r="W30">
        <v>106</v>
      </c>
      <c r="X30">
        <v>89</v>
      </c>
      <c r="Y30">
        <v>533</v>
      </c>
      <c r="Z30">
        <v>54</v>
      </c>
      <c r="AA30">
        <v>17</v>
      </c>
      <c r="AB30">
        <v>41</v>
      </c>
      <c r="AC30">
        <v>0</v>
      </c>
      <c r="AD30">
        <v>444</v>
      </c>
      <c r="AE30">
        <v>1</v>
      </c>
      <c r="AF30">
        <v>1</v>
      </c>
      <c r="AH30" t="s">
        <v>13</v>
      </c>
      <c r="AI30" t="s">
        <v>51</v>
      </c>
      <c r="AJ30" t="s">
        <v>266</v>
      </c>
      <c r="AK30" t="str">
        <f>HYPERLINK(".\links\SWISSP\TI-382-SWISSP.txt","B(0,+)-type amino acid transporter 1 OS=Homo sapiens GN=SLC7A9 PE=1 SV=1")</f>
        <v>B(0,+)-type amino acid transporter 1 OS=Homo sapiens GN=SLC7A9 PE=1 SV=1</v>
      </c>
      <c r="AL30" t="str">
        <f>HYPERLINK("http://www.uniprot.org/uniprot/P82251","8E-011")</f>
        <v>8E-011</v>
      </c>
      <c r="AM30" t="s">
        <v>209</v>
      </c>
      <c r="AN30">
        <v>65.900000000000006</v>
      </c>
      <c r="AO30">
        <v>85</v>
      </c>
      <c r="AP30">
        <v>487</v>
      </c>
      <c r="AQ30">
        <v>43</v>
      </c>
      <c r="AR30">
        <v>18</v>
      </c>
      <c r="AS30">
        <v>49</v>
      </c>
      <c r="AT30">
        <v>2</v>
      </c>
      <c r="AU30">
        <v>396</v>
      </c>
      <c r="AV30">
        <v>1</v>
      </c>
      <c r="AW30">
        <v>1</v>
      </c>
      <c r="AX30" t="s">
        <v>68</v>
      </c>
      <c r="AY30" t="str">
        <f>HYPERLINK(".\links\PREV-RHOD-PEP\TI-382-PREV-RHOD-PEP.txt","Contig17851_6")</f>
        <v>Contig17851_6</v>
      </c>
      <c r="AZ30" s="3">
        <v>1E-26</v>
      </c>
      <c r="BA30" t="s">
        <v>1123</v>
      </c>
      <c r="BB30">
        <v>114</v>
      </c>
      <c r="BC30">
        <v>69</v>
      </c>
      <c r="BD30">
        <v>423</v>
      </c>
      <c r="BE30">
        <v>78</v>
      </c>
      <c r="BF30">
        <v>17</v>
      </c>
      <c r="BG30">
        <v>15</v>
      </c>
      <c r="BH30">
        <v>0</v>
      </c>
      <c r="BI30">
        <v>344</v>
      </c>
      <c r="BJ30">
        <v>1</v>
      </c>
      <c r="BK30">
        <v>1</v>
      </c>
      <c r="BL30" t="s">
        <v>847</v>
      </c>
      <c r="BM30">
        <f>HYPERLINK(".\links\GO\TI-382-GO.txt",3E-20)</f>
        <v>3.0000000000000003E-20</v>
      </c>
      <c r="BN30" t="s">
        <v>848</v>
      </c>
      <c r="BO30" t="s">
        <v>319</v>
      </c>
      <c r="BP30" t="s">
        <v>320</v>
      </c>
      <c r="BQ30" t="s">
        <v>849</v>
      </c>
      <c r="BR30">
        <v>1.9999999999999999E-11</v>
      </c>
      <c r="BS30" t="s">
        <v>375</v>
      </c>
      <c r="BT30" t="s">
        <v>375</v>
      </c>
      <c r="BV30" t="s">
        <v>376</v>
      </c>
      <c r="BW30">
        <v>1.9999999999999999E-11</v>
      </c>
      <c r="BX30" t="s">
        <v>409</v>
      </c>
      <c r="BY30" t="s">
        <v>319</v>
      </c>
      <c r="BZ30" t="s">
        <v>320</v>
      </c>
      <c r="CA30" t="s">
        <v>410</v>
      </c>
      <c r="CB30">
        <v>1.9999999999999999E-11</v>
      </c>
      <c r="CC30" t="s">
        <v>8</v>
      </c>
      <c r="CF30" t="s">
        <v>8</v>
      </c>
      <c r="CH30" t="s">
        <v>8</v>
      </c>
      <c r="CJ30" t="s">
        <v>8</v>
      </c>
      <c r="CL30" t="s">
        <v>8</v>
      </c>
      <c r="CN30" t="s">
        <v>8</v>
      </c>
      <c r="DB30" t="s">
        <v>8</v>
      </c>
    </row>
    <row r="31" spans="1:120">
      <c r="A31" t="str">
        <f>HYPERLINK(".\links\pep\TI-360-pep.txt","TI-360")</f>
        <v>TI-360</v>
      </c>
      <c r="B31">
        <v>360</v>
      </c>
      <c r="C31" t="s">
        <v>7</v>
      </c>
      <c r="D31">
        <v>124</v>
      </c>
      <c r="E31">
        <v>0</v>
      </c>
      <c r="F31" t="str">
        <f>HYPERLINK(".\links\cds\TI-360-cds.txt","TI-360")</f>
        <v>TI-360</v>
      </c>
      <c r="G31">
        <v>375</v>
      </c>
      <c r="I31" t="s">
        <v>29</v>
      </c>
      <c r="J31" t="s">
        <v>6</v>
      </c>
      <c r="K31">
        <v>2</v>
      </c>
      <c r="L31">
        <v>0</v>
      </c>
      <c r="M31">
        <f t="shared" ref="M31" si="32">K31-L31</f>
        <v>2</v>
      </c>
      <c r="N31">
        <f t="shared" ref="N31" si="33">ABS(K31-L31)</f>
        <v>2</v>
      </c>
      <c r="O31" t="s">
        <v>1225</v>
      </c>
      <c r="P31" t="s">
        <v>1186</v>
      </c>
      <c r="Q31" t="str">
        <f>HYPERLINK(".\links\GO\TI-360-GO.txt","GO")</f>
        <v>GO</v>
      </c>
      <c r="R31" s="3">
        <v>2.0000000000000001E-53</v>
      </c>
      <c r="S31">
        <v>92.9</v>
      </c>
      <c r="T31" t="str">
        <f>HYPERLINK(".\links\NR-LIGHT\TI-360-NR-LIGHT.txt","similar to CG5738-PA")</f>
        <v>similar to CG5738-PA</v>
      </c>
      <c r="U31" t="str">
        <f>HYPERLINK("http://www.ncbi.nlm.nih.gov/sutils/blink.cgi?pid=156550568","5E-056")</f>
        <v>5E-056</v>
      </c>
      <c r="V31" t="str">
        <f>HYPERLINK("http://www.ncbi.nlm.nih.gov/protein/156550568","gi|156550568")</f>
        <v>gi|156550568</v>
      </c>
      <c r="W31">
        <v>218</v>
      </c>
      <c r="X31">
        <v>117</v>
      </c>
      <c r="Y31">
        <v>127</v>
      </c>
      <c r="Z31">
        <v>86</v>
      </c>
      <c r="AA31">
        <v>93</v>
      </c>
      <c r="AB31">
        <v>16</v>
      </c>
      <c r="AC31">
        <v>0</v>
      </c>
      <c r="AD31">
        <v>1</v>
      </c>
      <c r="AE31">
        <v>1</v>
      </c>
      <c r="AF31">
        <v>1</v>
      </c>
      <c r="AH31" t="s">
        <v>13</v>
      </c>
      <c r="AI31" t="s">
        <v>51</v>
      </c>
      <c r="AJ31" t="s">
        <v>294</v>
      </c>
      <c r="AK31" t="str">
        <f>HYPERLINK(".\links\SWISSP\TI-360-SWISSP.txt","Longitudinals lacking protein-like OS=Drosophila melanogaster GN=lolal PE=1 SV=1")</f>
        <v>Longitudinals lacking protein-like OS=Drosophila melanogaster GN=lolal PE=1 SV=1</v>
      </c>
      <c r="AL31" t="str">
        <f>HYPERLINK("http://www.uniprot.org/uniprot/Q7KRI2","8E-053")</f>
        <v>8E-053</v>
      </c>
      <c r="AM31" t="s">
        <v>206</v>
      </c>
      <c r="AN31">
        <v>205</v>
      </c>
      <c r="AO31">
        <v>117</v>
      </c>
      <c r="AP31">
        <v>127</v>
      </c>
      <c r="AQ31">
        <v>81</v>
      </c>
      <c r="AR31">
        <v>93</v>
      </c>
      <c r="AS31">
        <v>22</v>
      </c>
      <c r="AT31">
        <v>0</v>
      </c>
      <c r="AU31">
        <v>1</v>
      </c>
      <c r="AV31">
        <v>1</v>
      </c>
      <c r="AW31">
        <v>1</v>
      </c>
      <c r="AX31" t="s">
        <v>52</v>
      </c>
      <c r="AY31" t="str">
        <f>HYPERLINK(".\links\PREV-RHOD-PEP\TI-360-PREV-RHOD-PEP.txt","Contig17830_41")</f>
        <v>Contig17830_41</v>
      </c>
      <c r="AZ31" s="3">
        <v>1.9999999999999999E-69</v>
      </c>
      <c r="BA31" t="s">
        <v>1121</v>
      </c>
      <c r="BB31">
        <v>256</v>
      </c>
      <c r="BC31">
        <v>123</v>
      </c>
      <c r="BD31">
        <v>124</v>
      </c>
      <c r="BE31">
        <v>99</v>
      </c>
      <c r="BF31">
        <v>100</v>
      </c>
      <c r="BG31">
        <v>1</v>
      </c>
      <c r="BH31">
        <v>0</v>
      </c>
      <c r="BI31">
        <v>1</v>
      </c>
      <c r="BJ31">
        <v>1</v>
      </c>
      <c r="BK31">
        <v>1</v>
      </c>
      <c r="BL31" t="s">
        <v>834</v>
      </c>
      <c r="BM31">
        <f>HYPERLINK(".\links\GO\TI-360-GO.txt",2E-53)</f>
        <v>2.0000000000000001E-53</v>
      </c>
      <c r="BN31" t="s">
        <v>835</v>
      </c>
      <c r="BO31" t="s">
        <v>683</v>
      </c>
      <c r="BP31" t="s">
        <v>836</v>
      </c>
      <c r="BQ31" t="s">
        <v>837</v>
      </c>
      <c r="BR31" s="3">
        <v>2.0000000000000001E-53</v>
      </c>
      <c r="BS31" t="s">
        <v>447</v>
      </c>
      <c r="BT31" t="s">
        <v>323</v>
      </c>
      <c r="BU31" t="s">
        <v>334</v>
      </c>
      <c r="BV31" t="s">
        <v>448</v>
      </c>
      <c r="BW31" s="3">
        <v>2.0000000000000001E-53</v>
      </c>
      <c r="BX31" t="s">
        <v>838</v>
      </c>
      <c r="BY31" t="s">
        <v>683</v>
      </c>
      <c r="BZ31" t="s">
        <v>836</v>
      </c>
      <c r="CA31" t="s">
        <v>839</v>
      </c>
      <c r="CB31" s="3">
        <v>2.0000000000000001E-53</v>
      </c>
    </row>
    <row r="32" spans="1:120">
      <c r="A32" t="str">
        <f>HYPERLINK(".\links\pep\TI-290-pep.txt","TI-290")</f>
        <v>TI-290</v>
      </c>
      <c r="B32">
        <v>290</v>
      </c>
      <c r="C32" t="s">
        <v>27</v>
      </c>
      <c r="D32">
        <v>163</v>
      </c>
      <c r="E32">
        <v>0</v>
      </c>
      <c r="F32" t="str">
        <f>HYPERLINK(".\links\cds\TI-290-cds.txt","TI-290")</f>
        <v>TI-290</v>
      </c>
      <c r="G32">
        <v>491</v>
      </c>
      <c r="I32" t="s">
        <v>8</v>
      </c>
      <c r="J32" t="s">
        <v>6</v>
      </c>
      <c r="K32">
        <v>2</v>
      </c>
      <c r="L32">
        <v>0</v>
      </c>
      <c r="M32">
        <f t="shared" ref="M32" si="34">K32-L32</f>
        <v>2</v>
      </c>
      <c r="N32">
        <f t="shared" ref="N32" si="35">ABS(K32-L32)</f>
        <v>2</v>
      </c>
      <c r="O32" t="s">
        <v>1307</v>
      </c>
      <c r="P32" t="s">
        <v>1187</v>
      </c>
      <c r="Q32" t="str">
        <f>HYPERLINK(".\links\NR-LIGHT\TI-290-NR-LIGHT.txt","NR-LIGHT")</f>
        <v>NR-LIGHT</v>
      </c>
      <c r="R32" s="3">
        <v>8.9999999999999993E-30</v>
      </c>
      <c r="S32">
        <v>66.900000000000006</v>
      </c>
      <c r="T32" t="str">
        <f>HYPERLINK(".\links\NR-LIGHT\TI-290-NR-LIGHT.txt","hypothetical protein DAPPUDRAFT_238099")</f>
        <v>hypothetical protein DAPPUDRAFT_238099</v>
      </c>
      <c r="U32" t="str">
        <f>HYPERLINK("http://www.ncbi.nlm.nih.gov/sutils/blink.cgi?pid=321474467","4E-030")</f>
        <v>4E-030</v>
      </c>
      <c r="V32" t="str">
        <f>HYPERLINK("http://www.ncbi.nlm.nih.gov/protein/321474467","gi|321474467")</f>
        <v>gi|321474467</v>
      </c>
      <c r="W32">
        <v>132</v>
      </c>
      <c r="X32">
        <v>150</v>
      </c>
      <c r="Y32">
        <v>237</v>
      </c>
      <c r="Z32">
        <v>50</v>
      </c>
      <c r="AA32">
        <v>64</v>
      </c>
      <c r="AB32">
        <v>78</v>
      </c>
      <c r="AC32">
        <v>11</v>
      </c>
      <c r="AD32">
        <v>7</v>
      </c>
      <c r="AE32">
        <v>12</v>
      </c>
      <c r="AF32">
        <v>1</v>
      </c>
      <c r="AH32" t="s">
        <v>13</v>
      </c>
      <c r="AI32" t="s">
        <v>51</v>
      </c>
      <c r="AJ32" t="s">
        <v>270</v>
      </c>
      <c r="AK32" t="str">
        <f>HYPERLINK(".\links\SWISSP\TI-290-SWISSP.txt","Golgi SNAP receptor complex member 1 OS=Pongo abelii GN=GOSR1 PE=2 SV=1")</f>
        <v>Golgi SNAP receptor complex member 1 OS=Pongo abelii GN=GOSR1 PE=2 SV=1</v>
      </c>
      <c r="AL32" t="str">
        <f>HYPERLINK("http://www.uniprot.org/uniprot/Q5RBL6","1E-029")</f>
        <v>1E-029</v>
      </c>
      <c r="AM32" t="s">
        <v>178</v>
      </c>
      <c r="AN32">
        <v>129</v>
      </c>
      <c r="AO32">
        <v>163</v>
      </c>
      <c r="AP32">
        <v>248</v>
      </c>
      <c r="AQ32">
        <v>46</v>
      </c>
      <c r="AR32">
        <v>66</v>
      </c>
      <c r="AS32">
        <v>88</v>
      </c>
      <c r="AT32">
        <v>13</v>
      </c>
      <c r="AU32">
        <v>5</v>
      </c>
      <c r="AV32">
        <v>9</v>
      </c>
      <c r="AW32">
        <v>1</v>
      </c>
      <c r="AX32" t="s">
        <v>121</v>
      </c>
      <c r="AY32" t="str">
        <f>HYPERLINK(".\links\PREV-RHOD-PEP\TI-290-PREV-RHOD-PEP.txt","Contig17794_96")</f>
        <v>Contig17794_96</v>
      </c>
      <c r="AZ32" s="3">
        <v>7.9999999999999997E-72</v>
      </c>
      <c r="BA32" t="s">
        <v>1098</v>
      </c>
      <c r="BB32">
        <v>265</v>
      </c>
      <c r="BC32">
        <v>153</v>
      </c>
      <c r="BD32">
        <v>234</v>
      </c>
      <c r="BE32">
        <v>83</v>
      </c>
      <c r="BF32">
        <v>66</v>
      </c>
      <c r="BG32">
        <v>26</v>
      </c>
      <c r="BH32">
        <v>2</v>
      </c>
      <c r="BI32">
        <v>1</v>
      </c>
      <c r="BJ32">
        <v>8</v>
      </c>
      <c r="BK32">
        <v>1</v>
      </c>
      <c r="BL32" t="s">
        <v>768</v>
      </c>
      <c r="BM32">
        <f>HYPERLINK(".\links\GO\TI-290-GO.txt",1E-29)</f>
        <v>9.9999999999999994E-30</v>
      </c>
      <c r="BN32" t="s">
        <v>590</v>
      </c>
      <c r="BO32" t="s">
        <v>340</v>
      </c>
      <c r="BP32" t="s">
        <v>341</v>
      </c>
      <c r="BQ32" t="s">
        <v>591</v>
      </c>
      <c r="BR32" s="3">
        <v>9.9999999999999994E-30</v>
      </c>
      <c r="BS32" t="s">
        <v>526</v>
      </c>
      <c r="BT32" t="s">
        <v>323</v>
      </c>
      <c r="BU32" t="s">
        <v>334</v>
      </c>
      <c r="BV32" t="s">
        <v>527</v>
      </c>
      <c r="BW32" s="3">
        <v>9.9999999999999994E-30</v>
      </c>
      <c r="BX32" t="s">
        <v>769</v>
      </c>
      <c r="BY32" t="s">
        <v>340</v>
      </c>
      <c r="BZ32" t="s">
        <v>341</v>
      </c>
      <c r="CA32" t="s">
        <v>770</v>
      </c>
      <c r="CB32" s="3">
        <v>9.9999999999999994E-30</v>
      </c>
      <c r="CE32" t="s">
        <v>8</v>
      </c>
      <c r="CH32" t="s">
        <v>8</v>
      </c>
      <c r="CJ32" t="s">
        <v>8</v>
      </c>
      <c r="CL32" t="s">
        <v>8</v>
      </c>
      <c r="CN32" t="s">
        <v>8</v>
      </c>
      <c r="DB32" t="s">
        <v>8</v>
      </c>
    </row>
    <row r="33" spans="1:118">
      <c r="A33" s="6" t="str">
        <f>HYPERLINK(".\links\pep\TI-262-pep.txt","TI-262")</f>
        <v>TI-262</v>
      </c>
      <c r="B33" s="6">
        <v>262</v>
      </c>
      <c r="C33" s="6" t="s">
        <v>7</v>
      </c>
      <c r="D33" s="6">
        <v>167</v>
      </c>
      <c r="E33" s="6">
        <v>0</v>
      </c>
      <c r="F33" s="6" t="str">
        <f>HYPERLINK(".\links\cds\TI-262-cds.txt","TI-262")</f>
        <v>TI-262</v>
      </c>
      <c r="G33" s="6">
        <v>498</v>
      </c>
      <c r="H33" s="6"/>
      <c r="I33" s="6" t="s">
        <v>29</v>
      </c>
      <c r="J33" s="6" t="s">
        <v>8</v>
      </c>
      <c r="K33" s="6">
        <v>3</v>
      </c>
      <c r="L33" s="6">
        <v>1</v>
      </c>
      <c r="M33">
        <f t="shared" ref="M33" si="36">K33-L33</f>
        <v>2</v>
      </c>
      <c r="N33">
        <f t="shared" ref="N33" si="37">ABS(K33-L33)</f>
        <v>2</v>
      </c>
      <c r="O33" s="6" t="s">
        <v>1170</v>
      </c>
      <c r="P33" s="6" t="s">
        <v>1171</v>
      </c>
      <c r="Q33" s="6"/>
      <c r="R33" s="6"/>
      <c r="S33" s="6"/>
      <c r="T33" s="6" t="str">
        <f>HYPERLINK(".\links\NR-LIGHT\TI-262-NR-LIGHT.txt","hypothetical protein")</f>
        <v>hypothetical protein</v>
      </c>
      <c r="U33" s="6" t="str">
        <f>HYPERLINK("http://www.ncbi.nlm.nih.gov/sutils/blink.cgi?pid=256070610","0.16")</f>
        <v>0.16</v>
      </c>
      <c r="V33" s="6" t="str">
        <f>HYPERLINK("http://www.ncbi.nlm.nih.gov/protein/256070610","gi|256070610")</f>
        <v>gi|256070610</v>
      </c>
      <c r="W33" s="6">
        <v>37.4</v>
      </c>
      <c r="X33" s="6">
        <v>98</v>
      </c>
      <c r="Y33" s="6">
        <v>727</v>
      </c>
      <c r="Z33" s="6">
        <v>30</v>
      </c>
      <c r="AA33" s="6">
        <v>14</v>
      </c>
      <c r="AB33" s="6">
        <v>70</v>
      </c>
      <c r="AC33" s="6">
        <v>10</v>
      </c>
      <c r="AD33" s="6">
        <v>619</v>
      </c>
      <c r="AE33" s="6">
        <v>23</v>
      </c>
      <c r="AF33" s="6">
        <v>1</v>
      </c>
      <c r="AG33" s="6"/>
      <c r="AH33" s="6" t="s">
        <v>13</v>
      </c>
      <c r="AI33" s="6" t="s">
        <v>51</v>
      </c>
      <c r="AJ33" s="6" t="s">
        <v>265</v>
      </c>
      <c r="AK33" s="6" t="s">
        <v>8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 t="str">
        <f>HYPERLINK(".\links\PREV-RHOD-PEP\TI-262-PREV-RHOD-PEP.txt","Contig17963_38")</f>
        <v>Contig17963_38</v>
      </c>
      <c r="AZ33" s="8">
        <v>4E-52</v>
      </c>
      <c r="BA33" s="6" t="s">
        <v>1093</v>
      </c>
      <c r="BB33" s="6">
        <v>199</v>
      </c>
      <c r="BC33" s="6">
        <v>166</v>
      </c>
      <c r="BD33" s="6">
        <v>238</v>
      </c>
      <c r="BE33" s="6">
        <v>55</v>
      </c>
      <c r="BF33" s="6">
        <v>70</v>
      </c>
      <c r="BG33" s="6">
        <v>74</v>
      </c>
      <c r="BH33" s="6">
        <v>1</v>
      </c>
      <c r="BI33" s="6">
        <v>47</v>
      </c>
      <c r="BJ33" s="6">
        <v>1</v>
      </c>
      <c r="BK33" s="6">
        <v>1</v>
      </c>
      <c r="BL33" s="6" t="s">
        <v>8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 t="s">
        <v>8</v>
      </c>
      <c r="CD33" s="6"/>
      <c r="CE33" s="6" t="s">
        <v>8</v>
      </c>
      <c r="CF33" s="6"/>
      <c r="CG33" s="6"/>
      <c r="CH33" s="6" t="s">
        <v>8</v>
      </c>
      <c r="CI33" s="6"/>
      <c r="CJ33" s="6" t="s">
        <v>8</v>
      </c>
      <c r="CK33" s="6"/>
      <c r="CL33" s="6" t="s">
        <v>8</v>
      </c>
      <c r="CM33" s="6"/>
      <c r="CN33" s="6" t="s">
        <v>8</v>
      </c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 t="s">
        <v>8</v>
      </c>
    </row>
    <row r="34" spans="1:118">
      <c r="A34" t="str">
        <f>HYPERLINK(".\links\pep\TI-241-pep.txt","TI-241")</f>
        <v>TI-241</v>
      </c>
      <c r="B34">
        <v>241</v>
      </c>
      <c r="C34" t="s">
        <v>17</v>
      </c>
      <c r="D34">
        <v>263</v>
      </c>
      <c r="E34">
        <v>0</v>
      </c>
      <c r="F34" t="str">
        <f>HYPERLINK(".\links\cds\TI-241-cds.txt","TI-241")</f>
        <v>TI-241</v>
      </c>
      <c r="G34">
        <v>792</v>
      </c>
      <c r="I34" t="s">
        <v>8</v>
      </c>
      <c r="J34" t="s">
        <v>6</v>
      </c>
      <c r="K34">
        <v>2</v>
      </c>
      <c r="L34">
        <v>0</v>
      </c>
      <c r="M34">
        <f t="shared" ref="M34:M35" si="38">K34-L34</f>
        <v>2</v>
      </c>
      <c r="N34">
        <f t="shared" ref="N34:N35" si="39">ABS(K34-L34)</f>
        <v>2</v>
      </c>
      <c r="O34" t="s">
        <v>1301</v>
      </c>
      <c r="P34" t="s">
        <v>1178</v>
      </c>
      <c r="Q34" t="str">
        <f>HYPERLINK(".\links\NR-LIGHT\TI-241-NR-LIGHT.txt","NR-LIGHT")</f>
        <v>NR-LIGHT</v>
      </c>
      <c r="R34">
        <v>9.9999999999999994E-12</v>
      </c>
      <c r="S34">
        <v>83.7</v>
      </c>
      <c r="T34" t="str">
        <f>HYPERLINK(".\links\NR-LIGHT\TI-241-NR-LIGHT.txt","hypothetical protein AaeL_AAEL012646")</f>
        <v>hypothetical protein AaeL_AAEL012646</v>
      </c>
      <c r="U34" t="str">
        <f>HYPERLINK("http://www.ncbi.nlm.nih.gov/sutils/blink.cgi?pid=157133150","1E-011")</f>
        <v>1E-011</v>
      </c>
      <c r="V34" t="str">
        <f>HYPERLINK("http://www.ncbi.nlm.nih.gov/protein/157133150","gi|157133150")</f>
        <v>gi|157133150</v>
      </c>
      <c r="W34">
        <v>72.8</v>
      </c>
      <c r="X34">
        <v>218</v>
      </c>
      <c r="Y34">
        <v>277</v>
      </c>
      <c r="Z34">
        <v>32</v>
      </c>
      <c r="AA34">
        <v>79</v>
      </c>
      <c r="AB34">
        <v>156</v>
      </c>
      <c r="AC34">
        <v>25</v>
      </c>
      <c r="AD34">
        <v>37</v>
      </c>
      <c r="AE34">
        <v>30</v>
      </c>
      <c r="AF34">
        <v>1</v>
      </c>
      <c r="AH34" t="s">
        <v>13</v>
      </c>
      <c r="AI34" t="s">
        <v>51</v>
      </c>
      <c r="AJ34" t="s">
        <v>76</v>
      </c>
      <c r="AK34" t="s">
        <v>8</v>
      </c>
      <c r="AY34" t="str">
        <f>HYPERLINK(".\links\PREV-RHOD-PEP\TI-241-PREV-RHOD-PEP.txt","Contig18037_4")</f>
        <v>Contig18037_4</v>
      </c>
      <c r="AZ34" s="3">
        <v>8.9999999999999995E-91</v>
      </c>
      <c r="BA34" t="s">
        <v>1087</v>
      </c>
      <c r="BB34">
        <v>329</v>
      </c>
      <c r="BC34">
        <v>237</v>
      </c>
      <c r="BD34">
        <v>574</v>
      </c>
      <c r="BE34">
        <v>65</v>
      </c>
      <c r="BF34">
        <v>41</v>
      </c>
      <c r="BG34">
        <v>81</v>
      </c>
      <c r="BH34">
        <v>1</v>
      </c>
      <c r="BI34">
        <v>310</v>
      </c>
      <c r="BJ34">
        <v>9</v>
      </c>
      <c r="BK34">
        <v>1</v>
      </c>
      <c r="BL34" t="s">
        <v>734</v>
      </c>
      <c r="BM34">
        <f>HYPERLINK(".\links\GO\TI-241-GO.txt",0.0007)</f>
        <v>6.9999999999999999E-4</v>
      </c>
      <c r="BN34" t="s">
        <v>586</v>
      </c>
      <c r="BO34" t="s">
        <v>330</v>
      </c>
      <c r="BP34" t="s">
        <v>587</v>
      </c>
      <c r="BQ34" t="s">
        <v>588</v>
      </c>
      <c r="BR34">
        <v>6.9999999999999999E-4</v>
      </c>
      <c r="BS34" t="s">
        <v>8</v>
      </c>
      <c r="BT34" t="s">
        <v>8</v>
      </c>
      <c r="BU34" t="s">
        <v>8</v>
      </c>
      <c r="BV34" t="s">
        <v>8</v>
      </c>
      <c r="BW34" t="s">
        <v>8</v>
      </c>
      <c r="BX34" t="s">
        <v>8</v>
      </c>
      <c r="BY34" t="s">
        <v>8</v>
      </c>
      <c r="BZ34" t="s">
        <v>8</v>
      </c>
      <c r="CA34" t="s">
        <v>8</v>
      </c>
      <c r="CB34" t="s">
        <v>8</v>
      </c>
      <c r="CC34" t="s">
        <v>8</v>
      </c>
      <c r="CE34" t="s">
        <v>8</v>
      </c>
      <c r="CH34" t="s">
        <v>8</v>
      </c>
      <c r="CJ34" t="s">
        <v>8</v>
      </c>
      <c r="CL34" t="s">
        <v>8</v>
      </c>
      <c r="CN34" t="s">
        <v>8</v>
      </c>
      <c r="DB34" t="s">
        <v>8</v>
      </c>
    </row>
    <row r="35" spans="1:118">
      <c r="A35" s="6" t="str">
        <f>HYPERLINK(".\links\pep\TI-240-pep.txt","TI-240")</f>
        <v>TI-240</v>
      </c>
      <c r="B35" s="6">
        <v>240</v>
      </c>
      <c r="C35" s="6" t="s">
        <v>13</v>
      </c>
      <c r="D35" s="6">
        <v>44</v>
      </c>
      <c r="E35" s="6">
        <v>0</v>
      </c>
      <c r="F35" s="6" t="str">
        <f>HYPERLINK(".\links\cds\TI-240-cds.txt","TI-240")</f>
        <v>TI-240</v>
      </c>
      <c r="G35" s="6">
        <v>135</v>
      </c>
      <c r="H35" s="6"/>
      <c r="I35" s="6" t="s">
        <v>8</v>
      </c>
      <c r="J35" s="6" t="s">
        <v>6</v>
      </c>
      <c r="K35" s="6">
        <v>2</v>
      </c>
      <c r="L35" s="6">
        <v>0</v>
      </c>
      <c r="M35">
        <f t="shared" si="38"/>
        <v>2</v>
      </c>
      <c r="N35">
        <f t="shared" si="39"/>
        <v>2</v>
      </c>
      <c r="O35" s="6" t="s">
        <v>1170</v>
      </c>
      <c r="P35" s="6" t="s">
        <v>1171</v>
      </c>
      <c r="Q35" s="6"/>
      <c r="R35" s="6"/>
      <c r="S35" s="6"/>
      <c r="T35" s="6" t="s">
        <v>8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 t="s">
        <v>8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 t="s">
        <v>8</v>
      </c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 t="s">
        <v>8</v>
      </c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 t="s">
        <v>8</v>
      </c>
      <c r="CD35" s="6"/>
      <c r="CE35" s="6" t="s">
        <v>8</v>
      </c>
      <c r="CF35" s="6"/>
      <c r="CG35" s="6"/>
      <c r="CH35" s="6" t="s">
        <v>8</v>
      </c>
      <c r="CI35" s="6"/>
      <c r="CJ35" s="6" t="s">
        <v>8</v>
      </c>
      <c r="CK35" s="6"/>
      <c r="CL35" s="6" t="s">
        <v>8</v>
      </c>
      <c r="CM35" s="6"/>
      <c r="CN35" s="6" t="s">
        <v>8</v>
      </c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 t="s">
        <v>8</v>
      </c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</row>
    <row r="36" spans="1:118">
      <c r="A36" t="str">
        <f>HYPERLINK(".\links\pep\TI-219-pep.txt","TI-219")</f>
        <v>TI-219</v>
      </c>
      <c r="B36">
        <v>219</v>
      </c>
      <c r="C36" t="s">
        <v>12</v>
      </c>
      <c r="D36">
        <v>69</v>
      </c>
      <c r="E36">
        <v>0</v>
      </c>
      <c r="F36" t="str">
        <f>HYPERLINK(".\links\cds\TI-219-cds.txt","TI-219")</f>
        <v>TI-219</v>
      </c>
      <c r="G36">
        <v>210</v>
      </c>
      <c r="I36" t="s">
        <v>8</v>
      </c>
      <c r="J36" t="s">
        <v>6</v>
      </c>
      <c r="K36">
        <v>2</v>
      </c>
      <c r="L36">
        <v>0</v>
      </c>
      <c r="M36">
        <f t="shared" ref="M36" si="40">K36-L36</f>
        <v>2</v>
      </c>
      <c r="N36">
        <f t="shared" ref="N36" si="41">ABS(K36-L36)</f>
        <v>2</v>
      </c>
      <c r="O36" t="s">
        <v>1297</v>
      </c>
      <c r="P36" t="s">
        <v>1178</v>
      </c>
      <c r="Q36" t="str">
        <f>HYPERLINK(".\links\SWISSP\TI-219-SWISSP.txt","SWISSP")</f>
        <v>SWISSP</v>
      </c>
      <c r="R36" s="3">
        <v>3.0000000000000001E-27</v>
      </c>
      <c r="S36">
        <v>27.3</v>
      </c>
      <c r="T36" t="str">
        <f>HYPERLINK(".\links\NR-LIGHT\TI-219-NR-LIGHT.txt","similar to GCIP-interacting protein p29 (P29)")</f>
        <v>similar to GCIP-interacting protein p29 (P29)</v>
      </c>
      <c r="U36" t="str">
        <f>HYPERLINK("http://www.ncbi.nlm.nih.gov/sutils/blink.cgi?pid=118101581","6E-026")</f>
        <v>6E-026</v>
      </c>
      <c r="V36" t="str">
        <f>HYPERLINK("http://www.ncbi.nlm.nih.gov/protein/118101581","gi|118101581")</f>
        <v>gi|118101581</v>
      </c>
      <c r="W36">
        <v>118</v>
      </c>
      <c r="X36">
        <v>67</v>
      </c>
      <c r="Y36">
        <v>252</v>
      </c>
      <c r="Z36">
        <v>82</v>
      </c>
      <c r="AA36">
        <v>27</v>
      </c>
      <c r="AB36">
        <v>12</v>
      </c>
      <c r="AC36">
        <v>0</v>
      </c>
      <c r="AD36">
        <v>185</v>
      </c>
      <c r="AE36">
        <v>2</v>
      </c>
      <c r="AF36">
        <v>1</v>
      </c>
      <c r="AH36" t="s">
        <v>13</v>
      </c>
      <c r="AI36" t="s">
        <v>51</v>
      </c>
      <c r="AJ36" t="s">
        <v>126</v>
      </c>
      <c r="AK36" t="str">
        <f>HYPERLINK(".\links\SWISSP\TI-219-SWISSP.txt","Pre-mRNA-splicing factor syf2 OS=Gecko japonicus GN=syf2 PE=2 SV=1")</f>
        <v>Pre-mRNA-splicing factor syf2 OS=Gecko japonicus GN=syf2 PE=2 SV=1</v>
      </c>
      <c r="AL36" t="str">
        <f>HYPERLINK("http://www.uniprot.org/uniprot/Q6DV01","3E-027")</f>
        <v>3E-027</v>
      </c>
      <c r="AM36" t="s">
        <v>164</v>
      </c>
      <c r="AN36">
        <v>120</v>
      </c>
      <c r="AO36">
        <v>67</v>
      </c>
      <c r="AP36">
        <v>249</v>
      </c>
      <c r="AQ36">
        <v>85</v>
      </c>
      <c r="AR36">
        <v>27</v>
      </c>
      <c r="AS36">
        <v>10</v>
      </c>
      <c r="AT36">
        <v>0</v>
      </c>
      <c r="AU36">
        <v>182</v>
      </c>
      <c r="AV36">
        <v>2</v>
      </c>
      <c r="AW36">
        <v>1</v>
      </c>
      <c r="AX36" t="s">
        <v>165</v>
      </c>
      <c r="AY36" t="str">
        <f>HYPERLINK(".\links\PREV-RHOD-PEP\TI-219-PREV-RHOD-PEP.txt","Contig17854_91")</f>
        <v>Contig17854_91</v>
      </c>
      <c r="AZ36" s="3">
        <v>4.0000000000000002E-33</v>
      </c>
      <c r="BA36" t="s">
        <v>1082</v>
      </c>
      <c r="BB36">
        <v>135</v>
      </c>
      <c r="BC36">
        <v>68</v>
      </c>
      <c r="BD36">
        <v>230</v>
      </c>
      <c r="BE36">
        <v>94</v>
      </c>
      <c r="BF36">
        <v>30</v>
      </c>
      <c r="BG36">
        <v>4</v>
      </c>
      <c r="BH36">
        <v>0</v>
      </c>
      <c r="BI36">
        <v>162</v>
      </c>
      <c r="BJ36">
        <v>1</v>
      </c>
      <c r="BK36">
        <v>1</v>
      </c>
      <c r="BL36" t="s">
        <v>712</v>
      </c>
      <c r="BM36">
        <f>HYPERLINK(".\links\GO\TI-219-GO.txt",3E-26)</f>
        <v>3.0000000000000001E-26</v>
      </c>
      <c r="BN36" t="s">
        <v>507</v>
      </c>
      <c r="BO36" t="s">
        <v>345</v>
      </c>
      <c r="BP36" t="s">
        <v>508</v>
      </c>
      <c r="BQ36" t="s">
        <v>509</v>
      </c>
      <c r="BR36">
        <v>4.9999999999999997E-12</v>
      </c>
      <c r="BS36" t="s">
        <v>713</v>
      </c>
      <c r="BT36" t="s">
        <v>323</v>
      </c>
      <c r="BU36" t="s">
        <v>334</v>
      </c>
      <c r="BV36" t="s">
        <v>714</v>
      </c>
      <c r="BW36">
        <v>4.9999999999999997E-12</v>
      </c>
      <c r="BX36" t="s">
        <v>715</v>
      </c>
      <c r="BY36" t="s">
        <v>345</v>
      </c>
      <c r="BZ36" t="s">
        <v>508</v>
      </c>
      <c r="CA36" t="s">
        <v>716</v>
      </c>
      <c r="CB36">
        <v>4.9999999999999997E-12</v>
      </c>
      <c r="CE36" t="s">
        <v>8</v>
      </c>
      <c r="CH36" t="s">
        <v>8</v>
      </c>
      <c r="CJ36" t="s">
        <v>8</v>
      </c>
      <c r="CL36" t="s">
        <v>8</v>
      </c>
      <c r="CN36" t="s">
        <v>8</v>
      </c>
      <c r="DB36" t="s">
        <v>8</v>
      </c>
    </row>
    <row r="37" spans="1:118">
      <c r="A37" t="str">
        <f>HYPERLINK(".\links\pep\TI-184-pep.txt","TI-184")</f>
        <v>TI-184</v>
      </c>
      <c r="B37">
        <v>184</v>
      </c>
      <c r="C37" t="s">
        <v>27</v>
      </c>
      <c r="D37">
        <v>147</v>
      </c>
      <c r="E37">
        <v>0</v>
      </c>
      <c r="F37" t="str">
        <f>HYPERLINK(".\links\cds\TI-184-cds.txt","TI-184")</f>
        <v>TI-184</v>
      </c>
      <c r="G37">
        <v>440</v>
      </c>
      <c r="I37" t="s">
        <v>8</v>
      </c>
      <c r="J37" t="s">
        <v>8</v>
      </c>
      <c r="K37">
        <v>2</v>
      </c>
      <c r="L37">
        <v>0</v>
      </c>
      <c r="M37">
        <f t="shared" ref="M37:M39" si="42">K37-L37</f>
        <v>2</v>
      </c>
      <c r="N37">
        <f t="shared" ref="N37:N39" si="43">ABS(K37-L37)</f>
        <v>2</v>
      </c>
      <c r="O37" t="s">
        <v>1288</v>
      </c>
      <c r="P37" t="s">
        <v>1197</v>
      </c>
      <c r="Q37" t="str">
        <f>HYPERLINK(".\links\GO\TI-184-GO.txt","GO")</f>
        <v>GO</v>
      </c>
      <c r="R37">
        <v>2.9999999999999999E-7</v>
      </c>
      <c r="S37">
        <v>14.7</v>
      </c>
      <c r="T37" t="str">
        <f>HYPERLINK(".\links\NR-LIGHT\TI-184-NR-LIGHT.txt","J domain-containing protein C21orf55, putative")</f>
        <v>J domain-containing protein C21orf55, putative</v>
      </c>
      <c r="U37" t="str">
        <f>HYPERLINK("http://www.ncbi.nlm.nih.gov/sutils/blink.cgi?pid=242018813","3E-032")</f>
        <v>3E-032</v>
      </c>
      <c r="V37" t="str">
        <f>HYPERLINK("http://www.ncbi.nlm.nih.gov/protein/242018813","gi|242018813")</f>
        <v>gi|242018813</v>
      </c>
      <c r="W37">
        <v>139</v>
      </c>
      <c r="X37">
        <v>113</v>
      </c>
      <c r="Y37">
        <v>367</v>
      </c>
      <c r="Z37">
        <v>60</v>
      </c>
      <c r="AA37">
        <v>31</v>
      </c>
      <c r="AB37">
        <v>45</v>
      </c>
      <c r="AC37">
        <v>4</v>
      </c>
      <c r="AD37">
        <v>33</v>
      </c>
      <c r="AE37">
        <v>38</v>
      </c>
      <c r="AF37">
        <v>1</v>
      </c>
      <c r="AH37" t="s">
        <v>13</v>
      </c>
      <c r="AI37" t="s">
        <v>51</v>
      </c>
      <c r="AJ37" t="s">
        <v>268</v>
      </c>
      <c r="AK37" t="str">
        <f>HYPERLINK(".\links\SWISSP\TI-184-SWISSP.txt","DnaJ homolog subfamily C member 28 OS=Homo sapiens GN=DNAJC28 PE=1 SV=2")</f>
        <v>DnaJ homolog subfamily C member 28 OS=Homo sapiens GN=DNAJC28 PE=1 SV=2</v>
      </c>
      <c r="AL37" t="str">
        <f>HYPERLINK("http://www.uniprot.org/uniprot/Q9NX36","2E-015")</f>
        <v>2E-015</v>
      </c>
      <c r="AM37" t="s">
        <v>156</v>
      </c>
      <c r="AN37">
        <v>80.900000000000006</v>
      </c>
      <c r="AO37">
        <v>106</v>
      </c>
      <c r="AP37">
        <v>388</v>
      </c>
      <c r="AQ37">
        <v>38</v>
      </c>
      <c r="AR37">
        <v>28</v>
      </c>
      <c r="AS37">
        <v>70</v>
      </c>
      <c r="AT37">
        <v>6</v>
      </c>
      <c r="AU37">
        <v>45</v>
      </c>
      <c r="AV37">
        <v>35</v>
      </c>
      <c r="AW37">
        <v>1</v>
      </c>
      <c r="AX37" t="s">
        <v>68</v>
      </c>
      <c r="AY37" t="str">
        <f>HYPERLINK(".\links\PREV-RHOD-PEP\TI-184-PREV-RHOD-PEP.txt","Contig4177_3")</f>
        <v>Contig4177_3</v>
      </c>
      <c r="AZ37" s="3">
        <v>1.9999999999999998E-65</v>
      </c>
      <c r="BA37" t="s">
        <v>1072</v>
      </c>
      <c r="BB37">
        <v>243</v>
      </c>
      <c r="BC37">
        <v>144</v>
      </c>
      <c r="BD37">
        <v>286</v>
      </c>
      <c r="BE37">
        <v>80</v>
      </c>
      <c r="BF37">
        <v>51</v>
      </c>
      <c r="BG37">
        <v>28</v>
      </c>
      <c r="BH37">
        <v>1</v>
      </c>
      <c r="BI37">
        <v>1</v>
      </c>
      <c r="BJ37">
        <v>2</v>
      </c>
      <c r="BK37">
        <v>1</v>
      </c>
      <c r="BL37" t="s">
        <v>669</v>
      </c>
      <c r="BM37">
        <f>HYPERLINK(".\links\GO\TI-184-GO.txt",0.00000007)</f>
        <v>7.0000000000000005E-8</v>
      </c>
      <c r="BN37" t="s">
        <v>670</v>
      </c>
      <c r="BO37" t="s">
        <v>463</v>
      </c>
      <c r="BP37" t="s">
        <v>464</v>
      </c>
      <c r="BQ37" t="s">
        <v>671</v>
      </c>
      <c r="BR37">
        <v>2.9999999999999999E-7</v>
      </c>
      <c r="BS37" t="s">
        <v>447</v>
      </c>
      <c r="BT37" t="s">
        <v>323</v>
      </c>
      <c r="BU37" t="s">
        <v>334</v>
      </c>
      <c r="BV37" t="s">
        <v>448</v>
      </c>
      <c r="BW37">
        <v>2.9999999999999999E-7</v>
      </c>
      <c r="BX37" t="s">
        <v>672</v>
      </c>
      <c r="BY37" t="s">
        <v>463</v>
      </c>
      <c r="BZ37" t="s">
        <v>464</v>
      </c>
      <c r="CA37" t="s">
        <v>673</v>
      </c>
      <c r="CB37">
        <v>2.9999999999999999E-7</v>
      </c>
      <c r="CE37" t="s">
        <v>8</v>
      </c>
      <c r="CH37" t="s">
        <v>8</v>
      </c>
      <c r="CJ37" t="s">
        <v>8</v>
      </c>
      <c r="CL37" t="s">
        <v>8</v>
      </c>
      <c r="CN37" t="s">
        <v>8</v>
      </c>
      <c r="DB37" t="s">
        <v>8</v>
      </c>
    </row>
    <row r="38" spans="1:118">
      <c r="A38" t="str">
        <f>HYPERLINK(".\links\pep\TI-183-pep.txt","TI-183")</f>
        <v>TI-183</v>
      </c>
      <c r="B38">
        <v>183</v>
      </c>
      <c r="C38" t="s">
        <v>19</v>
      </c>
      <c r="D38">
        <v>195</v>
      </c>
      <c r="E38" s="2">
        <v>1.538462</v>
      </c>
      <c r="F38" t="str">
        <f>HYPERLINK(".\links\cds\TI-183-cds.txt","TI-183")</f>
        <v>TI-183</v>
      </c>
      <c r="G38">
        <v>588</v>
      </c>
      <c r="I38" t="s">
        <v>8</v>
      </c>
      <c r="J38" t="s">
        <v>6</v>
      </c>
      <c r="K38">
        <v>2</v>
      </c>
      <c r="L38">
        <v>0</v>
      </c>
      <c r="M38">
        <f t="shared" si="42"/>
        <v>2</v>
      </c>
      <c r="N38">
        <f t="shared" si="43"/>
        <v>2</v>
      </c>
      <c r="O38" t="s">
        <v>1174</v>
      </c>
      <c r="P38" t="s">
        <v>1175</v>
      </c>
      <c r="Q38" t="str">
        <f>HYPERLINK(".\links\NR-LIGHT\TI-183-NR-LIGHT.txt","NR-LIGHT")</f>
        <v>NR-LIGHT</v>
      </c>
      <c r="R38" s="3">
        <v>9.9999999999999994E-50</v>
      </c>
      <c r="S38">
        <v>50.2</v>
      </c>
      <c r="T38" t="str">
        <f>HYPERLINK(".\links\NR-LIGHT\TI-183-NR-LIGHT.txt","cathepsin D")</f>
        <v>cathepsin D</v>
      </c>
      <c r="U38" t="str">
        <f>HYPERLINK("http://www.ncbi.nlm.nih.gov/sutils/blink.cgi?pid=301030231","1E-049")</f>
        <v>1E-049</v>
      </c>
      <c r="V38" t="str">
        <f>HYPERLINK("http://www.ncbi.nlm.nih.gov/protein/301030231","gi|301030231")</f>
        <v>gi|301030231</v>
      </c>
      <c r="W38">
        <v>197</v>
      </c>
      <c r="X38">
        <v>195</v>
      </c>
      <c r="Y38">
        <v>390</v>
      </c>
      <c r="Z38">
        <v>47</v>
      </c>
      <c r="AA38">
        <v>50</v>
      </c>
      <c r="AB38">
        <v>102</v>
      </c>
      <c r="AC38">
        <v>2</v>
      </c>
      <c r="AD38">
        <v>192</v>
      </c>
      <c r="AE38">
        <v>1</v>
      </c>
      <c r="AF38">
        <v>1</v>
      </c>
      <c r="AH38" t="s">
        <v>13</v>
      </c>
      <c r="AI38" t="s">
        <v>51</v>
      </c>
      <c r="AJ38" t="s">
        <v>273</v>
      </c>
      <c r="AK38" t="str">
        <f>HYPERLINK(".\links\SWISSP\TI-183-SWISSP.txt","Lysosomal aspartic protease OS=Aedes aegypti GN=AAEL006169 PE=1 SV=2")</f>
        <v>Lysosomal aspartic protease OS=Aedes aegypti GN=AAEL006169 PE=1 SV=2</v>
      </c>
      <c r="AL38" t="str">
        <f>HYPERLINK("http://www.uniprot.org/uniprot/Q03168","6E-036")</f>
        <v>6E-036</v>
      </c>
      <c r="AM38" t="s">
        <v>103</v>
      </c>
      <c r="AN38">
        <v>150</v>
      </c>
      <c r="AO38">
        <v>192</v>
      </c>
      <c r="AP38">
        <v>387</v>
      </c>
      <c r="AQ38">
        <v>41</v>
      </c>
      <c r="AR38">
        <v>50</v>
      </c>
      <c r="AS38">
        <v>115</v>
      </c>
      <c r="AT38">
        <v>5</v>
      </c>
      <c r="AU38">
        <v>191</v>
      </c>
      <c r="AV38">
        <v>1</v>
      </c>
      <c r="AW38">
        <v>1</v>
      </c>
      <c r="AX38" t="s">
        <v>76</v>
      </c>
      <c r="AY38" t="str">
        <f>HYPERLINK(".\links\PREV-RHOD-PEP\TI-183-PREV-RHOD-PEP.txt","Contig808_3")</f>
        <v>Contig808_3</v>
      </c>
      <c r="AZ38" s="3">
        <v>9.0000000000000002E-64</v>
      </c>
      <c r="BA38" t="s">
        <v>1019</v>
      </c>
      <c r="BB38">
        <v>238</v>
      </c>
      <c r="BC38">
        <v>191</v>
      </c>
      <c r="BD38">
        <v>383</v>
      </c>
      <c r="BE38">
        <v>60</v>
      </c>
      <c r="BF38">
        <v>50</v>
      </c>
      <c r="BG38">
        <v>78</v>
      </c>
      <c r="BH38">
        <v>6</v>
      </c>
      <c r="BI38">
        <v>188</v>
      </c>
      <c r="BJ38">
        <v>1</v>
      </c>
      <c r="BK38">
        <v>1</v>
      </c>
      <c r="BL38" t="s">
        <v>492</v>
      </c>
      <c r="BM38">
        <f>HYPERLINK(".\links\GO\TI-183-GO.txt",1E-34)</f>
        <v>9.9999999999999993E-35</v>
      </c>
      <c r="BN38" t="s">
        <v>455</v>
      </c>
      <c r="BO38" t="s">
        <v>345</v>
      </c>
      <c r="BP38" t="s">
        <v>349</v>
      </c>
      <c r="BQ38" t="s">
        <v>456</v>
      </c>
      <c r="BR38" s="3">
        <v>5.0000000000000004E-31</v>
      </c>
      <c r="BS38" t="s">
        <v>493</v>
      </c>
      <c r="BT38" t="s">
        <v>323</v>
      </c>
      <c r="BU38" t="s">
        <v>334</v>
      </c>
      <c r="BV38" t="s">
        <v>494</v>
      </c>
      <c r="BW38" s="3">
        <v>5.0000000000000004E-31</v>
      </c>
      <c r="BX38" t="s">
        <v>495</v>
      </c>
      <c r="BY38" t="s">
        <v>345</v>
      </c>
      <c r="BZ38" t="s">
        <v>349</v>
      </c>
      <c r="CA38" t="s">
        <v>496</v>
      </c>
      <c r="CB38" s="3">
        <v>5.0000000000000004E-31</v>
      </c>
      <c r="CE38" t="s">
        <v>8</v>
      </c>
      <c r="CH38" t="s">
        <v>8</v>
      </c>
      <c r="CJ38" t="s">
        <v>8</v>
      </c>
      <c r="CL38" t="s">
        <v>8</v>
      </c>
      <c r="CN38" t="s">
        <v>8</v>
      </c>
      <c r="DB38" t="s">
        <v>8</v>
      </c>
    </row>
    <row r="39" spans="1:118">
      <c r="A39" t="str">
        <f>HYPERLINK(".\links\pep\TI-182-pep.txt","TI-182")</f>
        <v>TI-182</v>
      </c>
      <c r="B39">
        <v>182</v>
      </c>
      <c r="C39" t="s">
        <v>7</v>
      </c>
      <c r="D39">
        <v>169</v>
      </c>
      <c r="E39">
        <v>0</v>
      </c>
      <c r="F39" t="str">
        <f>HYPERLINK(".\links\cds\TI-182-cds.txt","TI-182")</f>
        <v>TI-182</v>
      </c>
      <c r="G39">
        <v>510</v>
      </c>
      <c r="I39" t="s">
        <v>29</v>
      </c>
      <c r="J39" t="s">
        <v>6</v>
      </c>
      <c r="K39">
        <v>2</v>
      </c>
      <c r="L39">
        <v>0</v>
      </c>
      <c r="M39">
        <f t="shared" si="42"/>
        <v>2</v>
      </c>
      <c r="N39">
        <f t="shared" si="43"/>
        <v>2</v>
      </c>
      <c r="O39" t="s">
        <v>1199</v>
      </c>
      <c r="P39" t="s">
        <v>1181</v>
      </c>
      <c r="Q39" t="str">
        <f>HYPERLINK(".\links\NR-LIGHT\TI-182-NR-LIGHT.txt","NR-LIGHT")</f>
        <v>NR-LIGHT</v>
      </c>
      <c r="R39" s="3">
        <v>3.9999999999999998E-82</v>
      </c>
      <c r="S39">
        <v>100</v>
      </c>
      <c r="T39" t="str">
        <f>HYPERLINK(".\links\NR-LIGHT\TI-182-NR-LIGHT.txt","tubulin polymerization promoting protein")</f>
        <v>tubulin polymerization promoting protein</v>
      </c>
      <c r="U39" t="str">
        <f>HYPERLINK("http://www.ncbi.nlm.nih.gov/sutils/blink.cgi?pid=307095196","4E-082")</f>
        <v>4E-082</v>
      </c>
      <c r="V39" t="str">
        <f>HYPERLINK("http://www.ncbi.nlm.nih.gov/protein/307095196","gi|307095196")</f>
        <v>gi|307095196</v>
      </c>
      <c r="W39">
        <v>305</v>
      </c>
      <c r="X39">
        <v>165</v>
      </c>
      <c r="Y39">
        <v>166</v>
      </c>
      <c r="Z39">
        <v>91</v>
      </c>
      <c r="AA39">
        <v>100</v>
      </c>
      <c r="AB39">
        <v>14</v>
      </c>
      <c r="AC39">
        <v>0</v>
      </c>
      <c r="AD39">
        <v>1</v>
      </c>
      <c r="AE39">
        <v>4</v>
      </c>
      <c r="AF39">
        <v>1</v>
      </c>
      <c r="AH39" t="s">
        <v>13</v>
      </c>
      <c r="AI39" t="s">
        <v>51</v>
      </c>
      <c r="AJ39" t="s">
        <v>278</v>
      </c>
      <c r="AK39" t="str">
        <f>HYPERLINK(".\links\SWISSP\TI-182-SWISSP.txt","TPPP family protein CG4893 OS=Drosophila melanogaster GN=CG4893 PE=2 SV=1")</f>
        <v>TPPP family protein CG4893 OS=Drosophila melanogaster GN=CG4893 PE=2 SV=1</v>
      </c>
      <c r="AL39" t="str">
        <f>HYPERLINK("http://www.uniprot.org/uniprot/Q9VV43","3E-051")</f>
        <v>3E-051</v>
      </c>
      <c r="AM39" t="s">
        <v>155</v>
      </c>
      <c r="AN39">
        <v>200</v>
      </c>
      <c r="AO39">
        <v>144</v>
      </c>
      <c r="AP39">
        <v>192</v>
      </c>
      <c r="AQ39">
        <v>67</v>
      </c>
      <c r="AR39">
        <v>76</v>
      </c>
      <c r="AS39">
        <v>48</v>
      </c>
      <c r="AT39">
        <v>2</v>
      </c>
      <c r="AU39">
        <v>48</v>
      </c>
      <c r="AV39">
        <v>20</v>
      </c>
      <c r="AW39">
        <v>1</v>
      </c>
      <c r="AX39" t="s">
        <v>52</v>
      </c>
      <c r="AY39" t="str">
        <f>HYPERLINK(".\links\PREV-RHOD-PEP\TI-182-PREV-RHOD-PEP.txt","Contig17878_69")</f>
        <v>Contig17878_69</v>
      </c>
      <c r="AZ39" s="3">
        <v>6.0000000000000001E-28</v>
      </c>
      <c r="BA39" t="s">
        <v>1071</v>
      </c>
      <c r="BB39">
        <v>119</v>
      </c>
      <c r="BC39">
        <v>68</v>
      </c>
      <c r="BD39">
        <v>315</v>
      </c>
      <c r="BE39">
        <v>79</v>
      </c>
      <c r="BF39">
        <v>22</v>
      </c>
      <c r="BG39">
        <v>14</v>
      </c>
      <c r="BH39">
        <v>0</v>
      </c>
      <c r="BI39">
        <v>247</v>
      </c>
      <c r="BJ39">
        <v>101</v>
      </c>
      <c r="BK39">
        <v>1</v>
      </c>
      <c r="BL39" t="s">
        <v>668</v>
      </c>
      <c r="BM39">
        <f>HYPERLINK(".\links\GO\TI-182-GO.txt",9E-52)</f>
        <v>9.0000000000000001E-52</v>
      </c>
      <c r="BN39" t="s">
        <v>373</v>
      </c>
      <c r="BO39" t="s">
        <v>373</v>
      </c>
      <c r="BQ39" t="s">
        <v>374</v>
      </c>
      <c r="BR39" s="3">
        <v>9.0000000000000001E-52</v>
      </c>
      <c r="BS39" t="s">
        <v>375</v>
      </c>
      <c r="BT39" t="s">
        <v>375</v>
      </c>
      <c r="BV39" t="s">
        <v>376</v>
      </c>
      <c r="BW39" s="3">
        <v>9.0000000000000001E-52</v>
      </c>
      <c r="BX39" t="s">
        <v>380</v>
      </c>
      <c r="BY39" t="s">
        <v>373</v>
      </c>
      <c r="CA39" t="s">
        <v>381</v>
      </c>
      <c r="CB39" s="3">
        <v>9.0000000000000001E-52</v>
      </c>
      <c r="CE39" t="s">
        <v>8</v>
      </c>
      <c r="CH39" t="s">
        <v>8</v>
      </c>
      <c r="CJ39" t="s">
        <v>8</v>
      </c>
      <c r="CL39" t="s">
        <v>8</v>
      </c>
      <c r="CN39" t="s">
        <v>8</v>
      </c>
      <c r="DB39" t="s">
        <v>8</v>
      </c>
    </row>
    <row r="40" spans="1:118">
      <c r="A40" s="6" t="str">
        <f>HYPERLINK(".\links\pep\TI-168-pep.txt","TI-168")</f>
        <v>TI-168</v>
      </c>
      <c r="B40" s="6">
        <v>168</v>
      </c>
      <c r="C40" s="6" t="s">
        <v>10</v>
      </c>
      <c r="D40" s="6">
        <v>32</v>
      </c>
      <c r="E40" s="6">
        <v>0</v>
      </c>
      <c r="F40" s="6" t="str">
        <f>HYPERLINK(".\links\cds\TI-168-cds.txt","TI-168")</f>
        <v>TI-168</v>
      </c>
      <c r="G40" s="6">
        <v>99</v>
      </c>
      <c r="H40" s="6"/>
      <c r="I40" s="6" t="s">
        <v>8</v>
      </c>
      <c r="J40" s="6" t="s">
        <v>6</v>
      </c>
      <c r="K40" s="6">
        <v>3</v>
      </c>
      <c r="L40" s="6">
        <v>1</v>
      </c>
      <c r="M40">
        <f t="shared" ref="M40:M41" si="44">K40-L40</f>
        <v>2</v>
      </c>
      <c r="N40">
        <f t="shared" ref="N40:N41" si="45">ABS(K40-L40)</f>
        <v>2</v>
      </c>
      <c r="O40" s="6" t="s">
        <v>1170</v>
      </c>
      <c r="P40" s="6" t="s">
        <v>1171</v>
      </c>
      <c r="Q40" s="6"/>
      <c r="R40" s="6"/>
      <c r="S40" s="6" t="s">
        <v>8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 t="s">
        <v>8</v>
      </c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 t="s">
        <v>8</v>
      </c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 t="s">
        <v>8</v>
      </c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 t="s">
        <v>8</v>
      </c>
      <c r="CC40" s="6"/>
      <c r="CD40" s="6"/>
      <c r="CE40" s="6" t="s">
        <v>8</v>
      </c>
      <c r="CF40" s="6"/>
      <c r="CG40" s="6"/>
      <c r="CH40" s="6" t="s">
        <v>8</v>
      </c>
      <c r="CI40" s="6"/>
      <c r="CJ40" s="6" t="s">
        <v>8</v>
      </c>
      <c r="CK40" s="6"/>
      <c r="CL40" s="6" t="s">
        <v>8</v>
      </c>
      <c r="CM40" s="6"/>
      <c r="CN40" s="6" t="s">
        <v>8</v>
      </c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 t="s">
        <v>8</v>
      </c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</row>
    <row r="41" spans="1:118">
      <c r="A41" s="6" t="str">
        <f>HYPERLINK(".\links\pep\TI-13-pep.txt","TI-13")</f>
        <v>TI-13</v>
      </c>
      <c r="B41" s="6">
        <v>13</v>
      </c>
      <c r="C41" s="6" t="s">
        <v>10</v>
      </c>
      <c r="D41" s="6">
        <v>84</v>
      </c>
      <c r="E41" s="6">
        <v>0</v>
      </c>
      <c r="F41" s="6" t="str">
        <f>HYPERLINK(".\links\cds\TI-13-cds.txt","TI-13")</f>
        <v>TI-13</v>
      </c>
      <c r="G41" s="6">
        <v>255</v>
      </c>
      <c r="H41" s="6"/>
      <c r="I41" s="6" t="s">
        <v>8</v>
      </c>
      <c r="J41" s="6" t="s">
        <v>6</v>
      </c>
      <c r="K41" s="6">
        <v>2</v>
      </c>
      <c r="L41" s="6">
        <v>0</v>
      </c>
      <c r="M41">
        <f t="shared" si="44"/>
        <v>2</v>
      </c>
      <c r="N41">
        <f t="shared" si="45"/>
        <v>2</v>
      </c>
      <c r="O41" s="6" t="s">
        <v>1170</v>
      </c>
      <c r="P41" s="6" t="s">
        <v>1171</v>
      </c>
      <c r="Q41" s="6"/>
      <c r="R41" s="6"/>
      <c r="S41" s="6" t="s">
        <v>8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 t="s">
        <v>8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 t="s">
        <v>8</v>
      </c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 t="s">
        <v>8</v>
      </c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 t="s">
        <v>8</v>
      </c>
      <c r="CC41" s="6"/>
      <c r="CD41" s="6"/>
      <c r="CE41" s="6" t="s">
        <v>8</v>
      </c>
      <c r="CF41" s="6"/>
      <c r="CG41" s="6"/>
      <c r="CH41" s="6" t="s">
        <v>8</v>
      </c>
      <c r="CI41" s="6"/>
      <c r="CJ41" s="6" t="s">
        <v>8</v>
      </c>
      <c r="CK41" s="6"/>
      <c r="CL41" s="6" t="s">
        <v>8</v>
      </c>
      <c r="CM41" s="6"/>
      <c r="CN41" s="6" t="s">
        <v>8</v>
      </c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 t="s">
        <v>8</v>
      </c>
    </row>
    <row r="42" spans="1:118">
      <c r="A42" t="str">
        <f>HYPERLINK(".\links\pep\TI-123-pep.txt","TI-123")</f>
        <v>TI-123</v>
      </c>
      <c r="B42">
        <v>123</v>
      </c>
      <c r="C42" t="s">
        <v>9</v>
      </c>
      <c r="D42">
        <v>155</v>
      </c>
      <c r="E42">
        <v>0</v>
      </c>
      <c r="F42" t="str">
        <f>HYPERLINK(".\links\cds\TI-123-cds.txt","TI-123")</f>
        <v>TI-123</v>
      </c>
      <c r="G42">
        <v>468</v>
      </c>
      <c r="I42" t="s">
        <v>8</v>
      </c>
      <c r="J42" t="s">
        <v>6</v>
      </c>
      <c r="K42">
        <v>2</v>
      </c>
      <c r="L42">
        <v>0</v>
      </c>
      <c r="M42">
        <f t="shared" ref="M42" si="46">K42-L42</f>
        <v>2</v>
      </c>
      <c r="N42">
        <f t="shared" ref="N42" si="47">ABS(K42-L42)</f>
        <v>2</v>
      </c>
      <c r="O42" t="s">
        <v>1273</v>
      </c>
      <c r="P42" t="s">
        <v>1168</v>
      </c>
      <c r="Q42" t="str">
        <f>HYPERLINK(".\links\NR-LIGHT\TI-123-NR-LIGHT.txt","NR-LIGHT")</f>
        <v>NR-LIGHT</v>
      </c>
      <c r="R42" s="3">
        <v>4.9999999999999996E-41</v>
      </c>
      <c r="S42">
        <v>25.8</v>
      </c>
      <c r="T42" t="str">
        <f>HYPERLINK(".\links\NR-LIGHT\TI-123-NR-LIGHT.txt","alpha-glucosidase binding-toxin receptor")</f>
        <v>alpha-glucosidase binding-toxin receptor</v>
      </c>
      <c r="U42" t="str">
        <f>HYPERLINK("http://www.ncbi.nlm.nih.gov/sutils/blink.cgi?pid=159792926","5E-039")</f>
        <v>5E-039</v>
      </c>
      <c r="V42" t="str">
        <f>HYPERLINK("http://www.ncbi.nlm.nih.gov/protein/159792926","gi|159792926")</f>
        <v>gi|159792926</v>
      </c>
      <c r="W42">
        <v>161</v>
      </c>
      <c r="X42">
        <v>150</v>
      </c>
      <c r="Y42">
        <v>588</v>
      </c>
      <c r="Z42">
        <v>48</v>
      </c>
      <c r="AA42">
        <v>26</v>
      </c>
      <c r="AB42">
        <v>79</v>
      </c>
      <c r="AC42">
        <v>2</v>
      </c>
      <c r="AD42">
        <v>59</v>
      </c>
      <c r="AE42">
        <v>1</v>
      </c>
      <c r="AF42">
        <v>1</v>
      </c>
      <c r="AH42" t="s">
        <v>13</v>
      </c>
      <c r="AI42" t="s">
        <v>51</v>
      </c>
      <c r="AJ42" t="s">
        <v>110</v>
      </c>
      <c r="AK42" t="str">
        <f>HYPERLINK(".\links\SWISSP\TI-123-SWISSP.txt","Maltase 2 OS=Drosophila virilis GN=Mav2 PE=3 SV=1")</f>
        <v>Maltase 2 OS=Drosophila virilis GN=Mav2 PE=3 SV=1</v>
      </c>
      <c r="AL42" t="str">
        <f>HYPERLINK("http://www.uniprot.org/uniprot/O16099","2E-034")</f>
        <v>2E-034</v>
      </c>
      <c r="AM42" t="s">
        <v>140</v>
      </c>
      <c r="AN42">
        <v>144</v>
      </c>
      <c r="AO42">
        <v>149</v>
      </c>
      <c r="AP42">
        <v>524</v>
      </c>
      <c r="AQ42">
        <v>46</v>
      </c>
      <c r="AR42">
        <v>29</v>
      </c>
      <c r="AS42">
        <v>81</v>
      </c>
      <c r="AT42">
        <v>3</v>
      </c>
      <c r="AU42">
        <v>67</v>
      </c>
      <c r="AV42">
        <v>1</v>
      </c>
      <c r="AW42">
        <v>1</v>
      </c>
      <c r="AX42" t="s">
        <v>60</v>
      </c>
      <c r="AY42" t="str">
        <f>HYPERLINK(".\links\PREV-RHOD-PEP\TI-123-PREV-RHOD-PEP.txt","Contig17590_30")</f>
        <v>Contig17590_30</v>
      </c>
      <c r="AZ42" s="3">
        <v>4.9999999999999999E-67</v>
      </c>
      <c r="BA42" t="s">
        <v>1029</v>
      </c>
      <c r="BB42">
        <v>249</v>
      </c>
      <c r="BC42">
        <v>153</v>
      </c>
      <c r="BD42">
        <v>599</v>
      </c>
      <c r="BE42">
        <v>76</v>
      </c>
      <c r="BF42">
        <v>26</v>
      </c>
      <c r="BG42">
        <v>36</v>
      </c>
      <c r="BH42">
        <v>1</v>
      </c>
      <c r="BI42">
        <v>50</v>
      </c>
      <c r="BJ42">
        <v>1</v>
      </c>
      <c r="BK42">
        <v>1</v>
      </c>
      <c r="BL42" t="s">
        <v>536</v>
      </c>
      <c r="BM42">
        <f>HYPERLINK(".\links\GO\TI-123-GO.txt",1E-34)</f>
        <v>9.9999999999999993E-35</v>
      </c>
      <c r="BN42" t="s">
        <v>8</v>
      </c>
      <c r="BO42" t="s">
        <v>8</v>
      </c>
      <c r="BP42" t="s">
        <v>8</v>
      </c>
      <c r="BQ42" t="s">
        <v>8</v>
      </c>
      <c r="BR42" t="s">
        <v>8</v>
      </c>
      <c r="BS42" t="s">
        <v>407</v>
      </c>
      <c r="BT42" t="s">
        <v>323</v>
      </c>
      <c r="BU42" t="s">
        <v>334</v>
      </c>
      <c r="BV42" t="s">
        <v>408</v>
      </c>
      <c r="BW42" s="3">
        <v>1.0000000000000001E-30</v>
      </c>
      <c r="BX42" t="s">
        <v>8</v>
      </c>
      <c r="BY42" t="s">
        <v>8</v>
      </c>
      <c r="BZ42" t="s">
        <v>8</v>
      </c>
      <c r="CA42" t="s">
        <v>8</v>
      </c>
      <c r="CB42" t="s">
        <v>8</v>
      </c>
      <c r="CE42" t="s">
        <v>8</v>
      </c>
      <c r="CH42" t="s">
        <v>8</v>
      </c>
      <c r="CJ42" t="s">
        <v>8</v>
      </c>
      <c r="CL42" t="s">
        <v>8</v>
      </c>
      <c r="CN42" t="s">
        <v>8</v>
      </c>
      <c r="DB42" t="s">
        <v>8</v>
      </c>
    </row>
    <row r="44" spans="1:118">
      <c r="M44" s="3"/>
    </row>
    <row r="45" spans="1:118">
      <c r="M45" s="3"/>
    </row>
    <row r="46" spans="1:118">
      <c r="M46" s="3"/>
    </row>
    <row r="48" spans="1:118">
      <c r="M48" s="3"/>
    </row>
    <row r="52" spans="13:13">
      <c r="M52" s="3"/>
    </row>
    <row r="53" spans="13:13">
      <c r="M53" s="3"/>
    </row>
    <row r="55" spans="13:13">
      <c r="M55" s="3"/>
    </row>
    <row r="56" spans="13:13">
      <c r="M56" s="3"/>
    </row>
    <row r="58" spans="13:13">
      <c r="M58" s="3"/>
    </row>
    <row r="65" spans="13:13">
      <c r="M65" s="3"/>
    </row>
    <row r="69" spans="13:13">
      <c r="M69" s="3"/>
    </row>
    <row r="70" spans="13:13">
      <c r="M70" s="3"/>
    </row>
    <row r="71" spans="13:13">
      <c r="M71" s="3"/>
    </row>
  </sheetData>
  <sortState ref="A2:DR302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C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7" sqref="L7"/>
    </sheetView>
  </sheetViews>
  <sheetFormatPr defaultRowHeight="15"/>
  <sheetData>
    <row r="1" spans="1:120" s="1" customFormat="1" ht="90">
      <c r="A1" s="1" t="s">
        <v>31</v>
      </c>
      <c r="B1" s="1" t="s">
        <v>32</v>
      </c>
      <c r="C1" s="1" t="s">
        <v>0</v>
      </c>
      <c r="D1" s="1" t="s">
        <v>1</v>
      </c>
      <c r="E1" s="1" t="s">
        <v>3</v>
      </c>
      <c r="F1" s="1" t="s">
        <v>30</v>
      </c>
      <c r="G1" s="1" t="s">
        <v>1</v>
      </c>
      <c r="H1" s="1" t="s">
        <v>4</v>
      </c>
      <c r="I1" s="1" t="s">
        <v>5</v>
      </c>
      <c r="J1" s="1" t="s">
        <v>6</v>
      </c>
      <c r="K1" s="1" t="s">
        <v>1164</v>
      </c>
      <c r="L1" s="1" t="s">
        <v>1165</v>
      </c>
      <c r="M1" s="1" t="s">
        <v>1362</v>
      </c>
      <c r="N1" s="1" t="s">
        <v>1166</v>
      </c>
      <c r="O1" s="1" t="s">
        <v>2</v>
      </c>
      <c r="P1" s="1" t="s">
        <v>1171</v>
      </c>
      <c r="Q1" s="1" t="s">
        <v>1244</v>
      </c>
      <c r="R1" s="1" t="s">
        <v>1245</v>
      </c>
      <c r="S1" s="1" t="s">
        <v>1246</v>
      </c>
      <c r="T1" s="1" t="s">
        <v>262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49</v>
      </c>
      <c r="AY1" s="1" t="s">
        <v>982</v>
      </c>
      <c r="AZ1" s="1" t="s">
        <v>34</v>
      </c>
      <c r="BA1" s="1" t="s">
        <v>35</v>
      </c>
      <c r="BB1" s="1" t="s">
        <v>36</v>
      </c>
      <c r="BC1" s="1" t="s">
        <v>37</v>
      </c>
      <c r="BD1" s="1" t="s">
        <v>38</v>
      </c>
      <c r="BE1" s="1" t="s">
        <v>39</v>
      </c>
      <c r="BF1" s="1" t="s">
        <v>40</v>
      </c>
      <c r="BG1" s="1" t="s">
        <v>41</v>
      </c>
      <c r="BH1" s="1" t="s">
        <v>42</v>
      </c>
      <c r="BI1" s="1" t="s">
        <v>43</v>
      </c>
      <c r="BJ1" s="1" t="s">
        <v>44</v>
      </c>
      <c r="BK1" s="1" t="s">
        <v>45</v>
      </c>
      <c r="BL1" s="1" t="s">
        <v>303</v>
      </c>
      <c r="BM1" s="1" t="s">
        <v>34</v>
      </c>
      <c r="BN1" s="1" t="s">
        <v>304</v>
      </c>
      <c r="BO1" s="1" t="s">
        <v>305</v>
      </c>
      <c r="BP1" s="1" t="s">
        <v>306</v>
      </c>
      <c r="BQ1" s="1" t="s">
        <v>307</v>
      </c>
      <c r="BR1" s="1" t="s">
        <v>308</v>
      </c>
      <c r="BS1" s="1" t="s">
        <v>309</v>
      </c>
      <c r="BT1" s="1" t="s">
        <v>310</v>
      </c>
      <c r="BU1" s="1" t="s">
        <v>311</v>
      </c>
      <c r="BV1" s="1" t="s">
        <v>307</v>
      </c>
      <c r="BW1" s="1" t="s">
        <v>312</v>
      </c>
      <c r="BX1" s="1" t="s">
        <v>313</v>
      </c>
      <c r="BY1" s="1" t="s">
        <v>314</v>
      </c>
      <c r="BZ1" s="1" t="s">
        <v>315</v>
      </c>
      <c r="CA1" s="1" t="s">
        <v>307</v>
      </c>
      <c r="CB1" s="1" t="s">
        <v>316</v>
      </c>
      <c r="CC1" s="1" t="s">
        <v>970</v>
      </c>
      <c r="CD1" s="1" t="s">
        <v>34</v>
      </c>
      <c r="CE1" s="1" t="s">
        <v>971</v>
      </c>
      <c r="CF1" s="1" t="s">
        <v>973</v>
      </c>
      <c r="CG1" s="1" t="s">
        <v>34</v>
      </c>
      <c r="CH1" s="1" t="s">
        <v>974</v>
      </c>
      <c r="CI1" s="1" t="s">
        <v>976</v>
      </c>
      <c r="CJ1" s="1" t="s">
        <v>34</v>
      </c>
      <c r="CK1" s="1" t="s">
        <v>977</v>
      </c>
      <c r="CL1" s="1" t="s">
        <v>34</v>
      </c>
      <c r="CM1" s="1" t="s">
        <v>978</v>
      </c>
      <c r="CN1" s="1" t="s">
        <v>34</v>
      </c>
      <c r="CO1" s="1" t="s">
        <v>979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1" t="s">
        <v>43</v>
      </c>
      <c r="CZ1" s="1" t="s">
        <v>44</v>
      </c>
      <c r="DA1" s="1" t="s">
        <v>45</v>
      </c>
      <c r="DB1" s="1" t="s">
        <v>48</v>
      </c>
      <c r="DC1" s="1" t="s">
        <v>980</v>
      </c>
      <c r="DD1" s="1" t="s">
        <v>34</v>
      </c>
      <c r="DE1" s="1" t="s">
        <v>35</v>
      </c>
      <c r="DF1" s="1" t="s">
        <v>36</v>
      </c>
      <c r="DG1" s="1" t="s">
        <v>37</v>
      </c>
      <c r="DH1" s="1" t="s">
        <v>38</v>
      </c>
      <c r="DI1" s="1" t="s">
        <v>39</v>
      </c>
      <c r="DJ1" s="1" t="s">
        <v>40</v>
      </c>
      <c r="DK1" s="1" t="s">
        <v>41</v>
      </c>
      <c r="DL1" s="1" t="s">
        <v>42</v>
      </c>
      <c r="DM1" s="1" t="s">
        <v>43</v>
      </c>
      <c r="DN1" s="1" t="s">
        <v>44</v>
      </c>
      <c r="DO1" s="1" t="s">
        <v>45</v>
      </c>
      <c r="DP1" s="1" t="s">
        <v>48</v>
      </c>
    </row>
    <row r="2" spans="1:120" s="6" customFormat="1">
      <c r="A2" s="6" t="str">
        <f>HYPERLINK(".\links\pep\TI-84-pep.txt","TI-84")</f>
        <v>TI-84</v>
      </c>
      <c r="B2" s="6">
        <v>84</v>
      </c>
      <c r="C2" s="6" t="s">
        <v>23</v>
      </c>
      <c r="D2" s="6">
        <v>186</v>
      </c>
      <c r="E2" s="6">
        <v>0</v>
      </c>
      <c r="F2" s="6" t="str">
        <f>HYPERLINK(".\links\cds\TI-84-cds.txt","TI-84")</f>
        <v>TI-84</v>
      </c>
      <c r="G2" s="6">
        <v>557</v>
      </c>
      <c r="I2" s="6" t="s">
        <v>8</v>
      </c>
      <c r="J2" s="6" t="s">
        <v>8</v>
      </c>
      <c r="K2" s="6">
        <v>0</v>
      </c>
      <c r="L2" s="6">
        <v>4</v>
      </c>
      <c r="M2" s="6">
        <f t="shared" ref="M2:M6" si="0">K2-L2</f>
        <v>-4</v>
      </c>
      <c r="N2" s="6">
        <f t="shared" ref="N2:N6" si="1">ABS(K2-L2)</f>
        <v>4</v>
      </c>
      <c r="O2" s="6" t="s">
        <v>1170</v>
      </c>
      <c r="P2" s="6" t="s">
        <v>1171</v>
      </c>
      <c r="T2" s="6" t="str">
        <f>HYPERLINK(".\links\NR-LIGHT\TI-84-NR-LIGHT.txt","conserved Plasmodium protein, unknown function")</f>
        <v>conserved Plasmodium protein, unknown function</v>
      </c>
      <c r="U2" s="6" t="str">
        <f>HYPERLINK("http://www.ncbi.nlm.nih.gov/sutils/blink.cgi?pid=124511844","3.4")</f>
        <v>3.4</v>
      </c>
      <c r="V2" s="6" t="str">
        <f>HYPERLINK("http://www.ncbi.nlm.nih.gov/protein/124511844","gi|124511844")</f>
        <v>gi|124511844</v>
      </c>
      <c r="W2" s="6">
        <v>33.5</v>
      </c>
      <c r="X2" s="6">
        <v>56</v>
      </c>
      <c r="Y2" s="6">
        <v>2206</v>
      </c>
      <c r="Z2" s="6">
        <v>33</v>
      </c>
      <c r="AA2" s="6">
        <v>3</v>
      </c>
      <c r="AB2" s="6">
        <v>41</v>
      </c>
      <c r="AC2" s="6">
        <v>5</v>
      </c>
      <c r="AD2" s="6">
        <v>649</v>
      </c>
      <c r="AE2" s="6">
        <v>29</v>
      </c>
      <c r="AF2" s="6">
        <v>1</v>
      </c>
      <c r="AH2" s="6" t="s">
        <v>13</v>
      </c>
      <c r="AI2" s="6" t="s">
        <v>51</v>
      </c>
      <c r="AJ2" s="6" t="s">
        <v>282</v>
      </c>
      <c r="AK2" s="6" t="s">
        <v>8</v>
      </c>
      <c r="AY2" s="6" t="str">
        <f>HYPERLINK(".\links\PREV-RHOD-PEP\TI-84-PREV-RHOD-PEP.txt","Contig17527_16")</f>
        <v>Contig17527_16</v>
      </c>
      <c r="AZ2" s="8">
        <v>4.0000000000000001E-53</v>
      </c>
      <c r="BA2" s="6" t="s">
        <v>1049</v>
      </c>
      <c r="BB2" s="6">
        <v>203</v>
      </c>
      <c r="BC2" s="6">
        <v>185</v>
      </c>
      <c r="BD2" s="6">
        <v>500</v>
      </c>
      <c r="BE2" s="6">
        <v>61</v>
      </c>
      <c r="BF2" s="6">
        <v>37</v>
      </c>
      <c r="BG2" s="6">
        <v>71</v>
      </c>
      <c r="BH2" s="6">
        <v>3</v>
      </c>
      <c r="BI2" s="6">
        <v>1</v>
      </c>
      <c r="BJ2" s="6">
        <v>4</v>
      </c>
      <c r="BK2" s="6">
        <v>1</v>
      </c>
      <c r="BL2" s="6" t="s">
        <v>8</v>
      </c>
      <c r="CC2" s="6" t="s">
        <v>8</v>
      </c>
      <c r="CF2" s="6" t="s">
        <v>8</v>
      </c>
      <c r="CI2" s="6" t="s">
        <v>8</v>
      </c>
      <c r="CK2" s="6" t="s">
        <v>8</v>
      </c>
      <c r="CM2" s="6" t="s">
        <v>8</v>
      </c>
      <c r="CO2" s="6" t="s">
        <v>8</v>
      </c>
      <c r="DC2" s="6" t="s">
        <v>8</v>
      </c>
    </row>
    <row r="3" spans="1:120" s="6" customFormat="1">
      <c r="A3" t="str">
        <f>HYPERLINK(".\links\pep\TI-126-pep.txt","TI-126")</f>
        <v>TI-126</v>
      </c>
      <c r="B3">
        <v>126</v>
      </c>
      <c r="C3" t="s">
        <v>10</v>
      </c>
      <c r="D3">
        <v>265</v>
      </c>
      <c r="E3">
        <v>0</v>
      </c>
      <c r="F3" t="str">
        <f>HYPERLINK(".\links\cds\TI-126-cds.txt","TI-126")</f>
        <v>TI-126</v>
      </c>
      <c r="G3">
        <v>794</v>
      </c>
      <c r="H3"/>
      <c r="I3" t="s">
        <v>8</v>
      </c>
      <c r="J3" t="s">
        <v>8</v>
      </c>
      <c r="K3">
        <v>2</v>
      </c>
      <c r="L3">
        <v>4</v>
      </c>
      <c r="M3">
        <f t="shared" si="0"/>
        <v>-2</v>
      </c>
      <c r="N3">
        <f t="shared" si="1"/>
        <v>2</v>
      </c>
      <c r="O3" t="s">
        <v>1276</v>
      </c>
      <c r="P3" t="s">
        <v>1185</v>
      </c>
      <c r="Q3" t="str">
        <f>HYPERLINK(".\links\GO\TI-126-GO.txt","GO")</f>
        <v>GO</v>
      </c>
      <c r="R3" s="3">
        <v>1.9999999999999999E-47</v>
      </c>
      <c r="S3">
        <v>69.7</v>
      </c>
      <c r="T3" t="str">
        <f>HYPERLINK(".\links\NR-LIGHT\TI-126-NR-LIGHT.txt","NADH dehydrogenase subunit I")</f>
        <v>NADH dehydrogenase subunit I</v>
      </c>
      <c r="U3" t="str">
        <f>HYPERLINK("http://www.ncbi.nlm.nih.gov/sutils/blink.cgi?pid=291621807","1E-126")</f>
        <v>1E-126</v>
      </c>
      <c r="V3" t="str">
        <f>HYPERLINK("http://www.ncbi.nlm.nih.gov/protein/291621807","gi|291621807")</f>
        <v>gi|291621807</v>
      </c>
      <c r="W3">
        <v>454</v>
      </c>
      <c r="X3">
        <v>260</v>
      </c>
      <c r="Y3">
        <v>303</v>
      </c>
      <c r="Z3">
        <v>89</v>
      </c>
      <c r="AA3">
        <v>86</v>
      </c>
      <c r="AB3">
        <v>28</v>
      </c>
      <c r="AC3">
        <v>0</v>
      </c>
      <c r="AD3">
        <v>1</v>
      </c>
      <c r="AE3">
        <v>2</v>
      </c>
      <c r="AF3">
        <v>1</v>
      </c>
      <c r="AG3"/>
      <c r="AH3" t="s">
        <v>13</v>
      </c>
      <c r="AI3" t="s">
        <v>51</v>
      </c>
      <c r="AJ3" t="s">
        <v>273</v>
      </c>
      <c r="AK3" t="str">
        <f>HYPERLINK(".\links\SWISSP\TI-126-SWISSP.txt","NADH-ubiquinone oxidoreductase chain 1 OS=Anopheles quadrimaculatus GN=ND1 PE=3")</f>
        <v>NADH-ubiquinone oxidoreductase chain 1 OS=Anopheles quadrimaculatus GN=ND1 PE=3</v>
      </c>
      <c r="AL3" t="str">
        <f>HYPERLINK("http://www.uniprot.org/uniprot/P33502","5E-089")</f>
        <v>5E-089</v>
      </c>
      <c r="AM3" t="s">
        <v>142</v>
      </c>
      <c r="AN3">
        <v>327</v>
      </c>
      <c r="AO3">
        <v>260</v>
      </c>
      <c r="AP3">
        <v>314</v>
      </c>
      <c r="AQ3">
        <v>61</v>
      </c>
      <c r="AR3">
        <v>83</v>
      </c>
      <c r="AS3">
        <v>101</v>
      </c>
      <c r="AT3">
        <v>0</v>
      </c>
      <c r="AU3">
        <v>8</v>
      </c>
      <c r="AV3">
        <v>2</v>
      </c>
      <c r="AW3">
        <v>1</v>
      </c>
      <c r="AX3" t="s">
        <v>143</v>
      </c>
      <c r="AY3" t="str">
        <f>HYPERLINK(".\links\PREV-RHOD-PEP\TI-126-PREV-RHOD-PEP.txt","Contig22712_1")</f>
        <v>Contig22712_1</v>
      </c>
      <c r="AZ3" s="3">
        <v>6E-11</v>
      </c>
      <c r="BA3" t="s">
        <v>1057</v>
      </c>
      <c r="BB3">
        <v>63.9</v>
      </c>
      <c r="BC3">
        <v>32</v>
      </c>
      <c r="BD3">
        <v>33</v>
      </c>
      <c r="BE3">
        <v>96</v>
      </c>
      <c r="BF3">
        <v>100</v>
      </c>
      <c r="BG3">
        <v>1</v>
      </c>
      <c r="BH3">
        <v>0</v>
      </c>
      <c r="BI3">
        <v>1</v>
      </c>
      <c r="BJ3">
        <v>110</v>
      </c>
      <c r="BK3">
        <v>1</v>
      </c>
      <c r="BL3" t="s">
        <v>627</v>
      </c>
      <c r="BM3">
        <f>HYPERLINK(".\links\GO\TI-126-GO.txt",4E-81)</f>
        <v>3.9999999999999998E-81</v>
      </c>
      <c r="BN3" t="s">
        <v>373</v>
      </c>
      <c r="BO3" t="s">
        <v>373</v>
      </c>
      <c r="BP3"/>
      <c r="BQ3" t="s">
        <v>374</v>
      </c>
      <c r="BR3" s="3">
        <v>6.0000000000000002E-54</v>
      </c>
      <c r="BS3" t="s">
        <v>608</v>
      </c>
      <c r="BT3" t="s">
        <v>323</v>
      </c>
      <c r="BU3" t="s">
        <v>334</v>
      </c>
      <c r="BV3" t="s">
        <v>609</v>
      </c>
      <c r="BW3" s="3">
        <v>6.0000000000000002E-54</v>
      </c>
      <c r="BX3" t="s">
        <v>628</v>
      </c>
      <c r="BY3" t="s">
        <v>373</v>
      </c>
      <c r="BZ3"/>
      <c r="CA3" t="s">
        <v>629</v>
      </c>
      <c r="CB3" s="3">
        <v>6.0000000000000002E-54</v>
      </c>
      <c r="CC3" t="s">
        <v>8</v>
      </c>
      <c r="CD3"/>
      <c r="CE3"/>
      <c r="CF3" t="s">
        <v>8</v>
      </c>
      <c r="CG3"/>
      <c r="CH3"/>
      <c r="CI3" t="s">
        <v>8</v>
      </c>
      <c r="CJ3"/>
      <c r="CK3" t="s">
        <v>8</v>
      </c>
      <c r="CL3"/>
      <c r="CM3" t="s">
        <v>8</v>
      </c>
      <c r="CN3"/>
      <c r="CO3" t="str">
        <f>HYPERLINK(".\links\MIT-PLA\TI-126-MIT-PLA.txt","Triatoma infestans clone TI-62 NADH dehydrogenase subunit 1 mRNA, complete cds;")</f>
        <v>Triatoma infestans clone TI-62 NADH dehydrogenase subunit 1 mRNA, complete cds;</v>
      </c>
      <c r="CP3" t="str">
        <f>HYPERLINK("http://www.ncbi.nlm.nih.gov/entrez/viewer.fcgi?db=nucleotide&amp;val=149898870","1E-116")</f>
        <v>1E-116</v>
      </c>
      <c r="CQ3" t="str">
        <f>HYPERLINK("http://www.ncbi.nlm.nih.gov/entrez/viewer.fcgi?db=nucleotide&amp;val=149898870","gi|149898870")</f>
        <v>gi|149898870</v>
      </c>
      <c r="CR3">
        <v>414</v>
      </c>
      <c r="CS3">
        <v>713</v>
      </c>
      <c r="CT3">
        <v>870</v>
      </c>
      <c r="CU3">
        <v>99</v>
      </c>
      <c r="CV3">
        <v>82</v>
      </c>
      <c r="CW3">
        <v>2</v>
      </c>
      <c r="CX3">
        <v>0</v>
      </c>
      <c r="CY3">
        <v>1</v>
      </c>
      <c r="CZ3">
        <v>4</v>
      </c>
      <c r="DA3">
        <v>3</v>
      </c>
      <c r="DB3" t="s">
        <v>51</v>
      </c>
      <c r="DC3" t="str">
        <f>HYPERLINK(".\links\RRNA\TI-126-RRNA.txt","Carpilius sp. SR20 mitochondrial 16S rRNA gene (partial), tRNA-Leu gene and")</f>
        <v>Carpilius sp. SR20 mitochondrial 16S rRNA gene (partial), tRNA-Leu gene and</v>
      </c>
      <c r="DD3" t="str">
        <f>HYPERLINK("http://www.ncbi.nlm.nih.gov/entrez/viewer.fcgi?db=nucleotide&amp;val=312827980","3E-012")</f>
        <v>3E-012</v>
      </c>
      <c r="DE3" t="str">
        <f>HYPERLINK("http://www.ncbi.nlm.nih.gov/entrez/viewer.fcgi?db=nucleotide&amp;val=312827980","gi|312827980")</f>
        <v>gi|312827980</v>
      </c>
      <c r="DF3">
        <v>71.900000000000006</v>
      </c>
      <c r="DG3">
        <v>71</v>
      </c>
      <c r="DH3">
        <v>1161</v>
      </c>
      <c r="DI3">
        <v>87</v>
      </c>
      <c r="DJ3">
        <v>6</v>
      </c>
      <c r="DK3">
        <v>9</v>
      </c>
      <c r="DL3">
        <v>0</v>
      </c>
      <c r="DM3">
        <v>827</v>
      </c>
      <c r="DN3">
        <v>80</v>
      </c>
      <c r="DO3">
        <v>1</v>
      </c>
      <c r="DP3" t="s">
        <v>51</v>
      </c>
    </row>
    <row r="4" spans="1:120" s="6" customFormat="1">
      <c r="A4" t="str">
        <f>HYPERLINK(".\links\pep\TI-151-pep.txt","TI-151")</f>
        <v>TI-151</v>
      </c>
      <c r="B4">
        <v>151</v>
      </c>
      <c r="C4" t="s">
        <v>7</v>
      </c>
      <c r="D4">
        <v>129</v>
      </c>
      <c r="E4">
        <v>0</v>
      </c>
      <c r="F4" t="str">
        <f>HYPERLINK(".\links\cds\TI-151-cds.txt","TI-151")</f>
        <v>TI-151</v>
      </c>
      <c r="G4">
        <v>390</v>
      </c>
      <c r="H4"/>
      <c r="I4" t="s">
        <v>29</v>
      </c>
      <c r="J4" t="s">
        <v>6</v>
      </c>
      <c r="K4">
        <v>1</v>
      </c>
      <c r="L4">
        <v>5</v>
      </c>
      <c r="M4">
        <f t="shared" si="0"/>
        <v>-4</v>
      </c>
      <c r="N4">
        <f t="shared" si="1"/>
        <v>4</v>
      </c>
      <c r="O4" t="s">
        <v>1167</v>
      </c>
      <c r="P4" t="s">
        <v>1168</v>
      </c>
      <c r="Q4" t="str">
        <f>HYPERLINK(".\links\NR-LIGHT\TI-151-NR-LIGHT.txt","NR-LIGHT")</f>
        <v>NR-LIGHT</v>
      </c>
      <c r="R4" s="3">
        <v>4E-41</v>
      </c>
      <c r="S4">
        <v>100</v>
      </c>
      <c r="T4" t="str">
        <f>HYPERLINK(".\links\NR-LIGHT\TI-151-NR-LIGHT.txt","salivary secreted protein")</f>
        <v>salivary secreted protein</v>
      </c>
      <c r="U4" t="str">
        <f>HYPERLINK("http://www.ncbi.nlm.nih.gov/sutils/blink.cgi?pid=149689094","4E-041")</f>
        <v>4E-041</v>
      </c>
      <c r="V4" t="str">
        <f>HYPERLINK("http://www.ncbi.nlm.nih.gov/protein/149689094","gi|149689094")</f>
        <v>gi|149689094</v>
      </c>
      <c r="W4">
        <v>168</v>
      </c>
      <c r="X4">
        <v>128</v>
      </c>
      <c r="Y4">
        <v>129</v>
      </c>
      <c r="Z4">
        <v>65</v>
      </c>
      <c r="AA4">
        <v>100</v>
      </c>
      <c r="AB4">
        <v>44</v>
      </c>
      <c r="AC4">
        <v>1</v>
      </c>
      <c r="AD4">
        <v>1</v>
      </c>
      <c r="AE4">
        <v>1</v>
      </c>
      <c r="AF4">
        <v>1</v>
      </c>
      <c r="AG4"/>
      <c r="AH4" t="s">
        <v>13</v>
      </c>
      <c r="AI4" t="s">
        <v>51</v>
      </c>
      <c r="AJ4" t="s">
        <v>273</v>
      </c>
      <c r="AK4" t="s">
        <v>8</v>
      </c>
      <c r="AL4"/>
      <c r="AM4"/>
      <c r="AN4"/>
      <c r="AO4"/>
      <c r="AP4"/>
      <c r="AQ4"/>
      <c r="AR4"/>
      <c r="AS4"/>
      <c r="AT4"/>
      <c r="AU4"/>
      <c r="AV4"/>
      <c r="AW4"/>
      <c r="AX4"/>
      <c r="AY4" t="str">
        <f>HYPERLINK(".\links\PREV-RHOD-PEP\TI-151-PREV-RHOD-PEP.txt","Contig17819_86")</f>
        <v>Contig17819_86</v>
      </c>
      <c r="AZ4" s="3">
        <v>2.9999999999999999E-30</v>
      </c>
      <c r="BA4" t="s">
        <v>998</v>
      </c>
      <c r="BB4">
        <v>126</v>
      </c>
      <c r="BC4">
        <v>125</v>
      </c>
      <c r="BD4">
        <v>126</v>
      </c>
      <c r="BE4">
        <v>53</v>
      </c>
      <c r="BF4">
        <v>100</v>
      </c>
      <c r="BG4">
        <v>61</v>
      </c>
      <c r="BH4">
        <v>6</v>
      </c>
      <c r="BI4">
        <v>1</v>
      </c>
      <c r="BJ4">
        <v>1</v>
      </c>
      <c r="BK4">
        <v>1</v>
      </c>
      <c r="BL4" t="s">
        <v>8</v>
      </c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 t="s">
        <v>8</v>
      </c>
      <c r="CD4"/>
      <c r="CE4"/>
      <c r="CF4" t="s">
        <v>8</v>
      </c>
      <c r="CG4"/>
      <c r="CH4"/>
      <c r="CI4" t="s">
        <v>8</v>
      </c>
      <c r="CJ4"/>
      <c r="CK4" t="s">
        <v>8</v>
      </c>
      <c r="CL4"/>
      <c r="CM4" t="s">
        <v>8</v>
      </c>
      <c r="CN4"/>
      <c r="CO4" t="s">
        <v>8</v>
      </c>
      <c r="CP4"/>
      <c r="CQ4"/>
      <c r="CR4"/>
      <c r="CS4"/>
      <c r="CT4"/>
      <c r="CU4"/>
      <c r="CV4"/>
      <c r="CW4"/>
      <c r="CX4"/>
      <c r="CY4"/>
      <c r="CZ4"/>
      <c r="DA4"/>
      <c r="DB4"/>
      <c r="DC4" t="s">
        <v>8</v>
      </c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s="6" customFormat="1">
      <c r="A5" t="str">
        <f>HYPERLINK(".\links\pep\TI-152-pep.txt","TI-152")</f>
        <v>TI-152</v>
      </c>
      <c r="B5">
        <v>152</v>
      </c>
      <c r="C5" t="s">
        <v>16</v>
      </c>
      <c r="D5">
        <v>200</v>
      </c>
      <c r="E5">
        <v>0</v>
      </c>
      <c r="F5" t="str">
        <f>HYPERLINK(".\links\cds\TI-152-cds.txt","TI-152")</f>
        <v>TI-152</v>
      </c>
      <c r="G5">
        <v>603</v>
      </c>
      <c r="H5"/>
      <c r="I5" t="s">
        <v>8</v>
      </c>
      <c r="J5" t="s">
        <v>6</v>
      </c>
      <c r="K5">
        <v>0</v>
      </c>
      <c r="L5">
        <v>9</v>
      </c>
      <c r="M5">
        <f t="shared" si="0"/>
        <v>-9</v>
      </c>
      <c r="N5">
        <f t="shared" si="1"/>
        <v>9</v>
      </c>
      <c r="O5" t="s">
        <v>1281</v>
      </c>
      <c r="P5" t="s">
        <v>1178</v>
      </c>
      <c r="Q5" t="str">
        <f>HYPERLINK(".\links\NR-LIGHT\TI-152-NR-LIGHT.txt","NR-LIGHT")</f>
        <v>NR-LIGHT</v>
      </c>
      <c r="R5" s="3">
        <v>7.9999999999999994E-24</v>
      </c>
      <c r="S5">
        <v>22.7</v>
      </c>
      <c r="T5" t="str">
        <f>HYPERLINK(".\links\NR-LIGHT\TI-152-NR-LIGHT.txt","hypothetical protein LOC100579034, partial")</f>
        <v>hypothetical protein LOC100579034, partial</v>
      </c>
      <c r="U5" t="str">
        <f>HYPERLINK("http://www.ncbi.nlm.nih.gov/sutils/blink.cgi?pid=328790765","8E-024")</f>
        <v>8E-024</v>
      </c>
      <c r="V5" t="str">
        <f>HYPERLINK("http://www.ncbi.nlm.nih.gov/protein/328790765","gi|328790765")</f>
        <v>gi|328790765</v>
      </c>
      <c r="W5">
        <v>112</v>
      </c>
      <c r="X5">
        <v>153</v>
      </c>
      <c r="Y5">
        <v>699</v>
      </c>
      <c r="Z5">
        <v>34</v>
      </c>
      <c r="AA5">
        <v>22</v>
      </c>
      <c r="AB5">
        <v>104</v>
      </c>
      <c r="AC5">
        <v>5</v>
      </c>
      <c r="AD5">
        <v>481</v>
      </c>
      <c r="AE5">
        <v>36</v>
      </c>
      <c r="AF5">
        <v>1</v>
      </c>
      <c r="AG5"/>
      <c r="AH5" t="s">
        <v>13</v>
      </c>
      <c r="AI5" t="s">
        <v>51</v>
      </c>
      <c r="AJ5" t="s">
        <v>83</v>
      </c>
      <c r="AK5" t="str">
        <f>HYPERLINK(".\links\SWISSP\TI-152-SWISSP.txt","NMDA receptor-regulated protein 2 OS=Homo sapiens GN=NARG2 PE=1 SV=2")</f>
        <v>NMDA receptor-regulated protein 2 OS=Homo sapiens GN=NARG2 PE=1 SV=2</v>
      </c>
      <c r="AL5" t="str">
        <f>HYPERLINK("http://www.uniprot.org/uniprot/Q659A1","2E-005")</f>
        <v>2E-005</v>
      </c>
      <c r="AM5" t="s">
        <v>150</v>
      </c>
      <c r="AN5">
        <v>49.3</v>
      </c>
      <c r="AO5">
        <v>99</v>
      </c>
      <c r="AP5">
        <v>982</v>
      </c>
      <c r="AQ5">
        <v>27</v>
      </c>
      <c r="AR5">
        <v>10</v>
      </c>
      <c r="AS5">
        <v>75</v>
      </c>
      <c r="AT5">
        <v>3</v>
      </c>
      <c r="AU5">
        <v>773</v>
      </c>
      <c r="AV5">
        <v>78</v>
      </c>
      <c r="AW5">
        <v>1</v>
      </c>
      <c r="AX5" t="s">
        <v>68</v>
      </c>
      <c r="AY5" t="str">
        <f>HYPERLINK(".\links\PREV-RHOD-PEP\TI-152-PREV-RHOD-PEP.txt","Contig17567_10")</f>
        <v>Contig17567_10</v>
      </c>
      <c r="AZ5" s="3">
        <v>1E-78</v>
      </c>
      <c r="BA5" t="s">
        <v>1063</v>
      </c>
      <c r="BB5">
        <v>288</v>
      </c>
      <c r="BC5">
        <v>178</v>
      </c>
      <c r="BD5">
        <v>753</v>
      </c>
      <c r="BE5">
        <v>77</v>
      </c>
      <c r="BF5">
        <v>24</v>
      </c>
      <c r="BG5">
        <v>40</v>
      </c>
      <c r="BH5">
        <v>0</v>
      </c>
      <c r="BI5">
        <v>492</v>
      </c>
      <c r="BJ5">
        <v>9</v>
      </c>
      <c r="BK5">
        <v>1</v>
      </c>
      <c r="BL5" t="s">
        <v>650</v>
      </c>
      <c r="BM5">
        <f>HYPERLINK(".\links\GO\TI-152-GO.txt",0.00004)</f>
        <v>4.0000000000000003E-5</v>
      </c>
      <c r="BN5" t="s">
        <v>8</v>
      </c>
      <c r="BO5" t="s">
        <v>8</v>
      </c>
      <c r="BP5" t="s">
        <v>8</v>
      </c>
      <c r="BQ5" t="s">
        <v>8</v>
      </c>
      <c r="BR5" t="s">
        <v>8</v>
      </c>
      <c r="BS5" t="s">
        <v>447</v>
      </c>
      <c r="BT5" t="s">
        <v>323</v>
      </c>
      <c r="BU5" t="s">
        <v>334</v>
      </c>
      <c r="BV5" t="s">
        <v>448</v>
      </c>
      <c r="BW5">
        <v>2.0000000000000001E-4</v>
      </c>
      <c r="BX5" t="s">
        <v>8</v>
      </c>
      <c r="BY5" t="s">
        <v>8</v>
      </c>
      <c r="BZ5" t="s">
        <v>8</v>
      </c>
      <c r="CA5" t="s">
        <v>8</v>
      </c>
      <c r="CB5" t="s">
        <v>8</v>
      </c>
      <c r="CC5" t="s">
        <v>8</v>
      </c>
      <c r="CD5"/>
      <c r="CE5"/>
      <c r="CF5" t="s">
        <v>8</v>
      </c>
      <c r="CG5"/>
      <c r="CH5"/>
      <c r="CI5" t="s">
        <v>8</v>
      </c>
      <c r="CJ5"/>
      <c r="CK5" t="s">
        <v>8</v>
      </c>
      <c r="CL5"/>
      <c r="CM5" t="s">
        <v>8</v>
      </c>
      <c r="CN5"/>
      <c r="CO5" t="s">
        <v>8</v>
      </c>
      <c r="CP5"/>
      <c r="CQ5"/>
      <c r="CR5"/>
      <c r="CS5"/>
      <c r="CT5"/>
      <c r="CU5"/>
      <c r="CV5"/>
      <c r="CW5"/>
      <c r="CX5"/>
      <c r="CY5"/>
      <c r="CZ5"/>
      <c r="DA5"/>
      <c r="DB5"/>
      <c r="DC5" t="s">
        <v>8</v>
      </c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 s="6" customFormat="1">
      <c r="A6" s="6" t="str">
        <f>HYPERLINK(".\links\pep\TI-175-pep.txt","TI-175")</f>
        <v>TI-175</v>
      </c>
      <c r="B6" s="6">
        <v>175</v>
      </c>
      <c r="C6" s="6" t="s">
        <v>7</v>
      </c>
      <c r="D6" s="6">
        <v>233</v>
      </c>
      <c r="E6" s="6">
        <v>0</v>
      </c>
      <c r="F6" s="6" t="str">
        <f>HYPERLINK(".\links\cds\TI-175-cds.txt","TI-175")</f>
        <v>TI-175</v>
      </c>
      <c r="G6" s="6">
        <v>702</v>
      </c>
      <c r="I6" s="6" t="s">
        <v>29</v>
      </c>
      <c r="J6" s="6" t="s">
        <v>6</v>
      </c>
      <c r="K6" s="6">
        <v>0</v>
      </c>
      <c r="L6" s="6">
        <v>2</v>
      </c>
      <c r="M6" s="6">
        <f t="shared" si="0"/>
        <v>-2</v>
      </c>
      <c r="N6" s="6">
        <f t="shared" si="1"/>
        <v>2</v>
      </c>
      <c r="O6" s="6" t="s">
        <v>1170</v>
      </c>
      <c r="P6" s="6" t="s">
        <v>1171</v>
      </c>
      <c r="T6" s="6" t="str">
        <f>HYPERLINK(".\links\NR-LIGHT\TI-175-NR-LIGHT.txt","conserved hypothetical protein")</f>
        <v>conserved hypothetical protein</v>
      </c>
      <c r="U6" s="6" t="str">
        <f>HYPERLINK("http://www.ncbi.nlm.nih.gov/sutils/blink.cgi?pid=170057069","2E-005")</f>
        <v>2E-005</v>
      </c>
      <c r="V6" s="6" t="str">
        <f>HYPERLINK("http://www.ncbi.nlm.nih.gov/protein/170057069","gi|170057069")</f>
        <v>gi|170057069</v>
      </c>
      <c r="W6" s="6">
        <v>51.2</v>
      </c>
      <c r="X6" s="6">
        <v>118</v>
      </c>
      <c r="Y6" s="6">
        <v>243</v>
      </c>
      <c r="Z6" s="6">
        <v>30</v>
      </c>
      <c r="AA6" s="6">
        <v>49</v>
      </c>
      <c r="AB6" s="6">
        <v>83</v>
      </c>
      <c r="AC6" s="6">
        <v>8</v>
      </c>
      <c r="AD6" s="6">
        <v>29</v>
      </c>
      <c r="AE6" s="6">
        <v>20</v>
      </c>
      <c r="AF6" s="6">
        <v>1</v>
      </c>
      <c r="AH6" s="6" t="s">
        <v>13</v>
      </c>
      <c r="AI6" s="6" t="s">
        <v>51</v>
      </c>
      <c r="AJ6" s="6" t="s">
        <v>263</v>
      </c>
      <c r="AK6" s="6" t="s">
        <v>8</v>
      </c>
      <c r="AY6" s="6" t="str">
        <f>HYPERLINK(".\links\PREV-RHOD-PEP\TI-175-PREV-RHOD-PEP.txt","Contig17963_37")</f>
        <v>Contig17963_37</v>
      </c>
      <c r="AZ6" s="8">
        <v>9.9999999999999997E-106</v>
      </c>
      <c r="BA6" s="6" t="s">
        <v>1068</v>
      </c>
      <c r="BB6" s="6">
        <v>377</v>
      </c>
      <c r="BC6" s="6">
        <v>232</v>
      </c>
      <c r="BD6" s="6">
        <v>233</v>
      </c>
      <c r="BE6" s="6">
        <v>75</v>
      </c>
      <c r="BF6" s="6">
        <v>100</v>
      </c>
      <c r="BG6" s="6">
        <v>57</v>
      </c>
      <c r="BH6" s="6">
        <v>0</v>
      </c>
      <c r="BI6" s="6">
        <v>1</v>
      </c>
      <c r="BJ6" s="6">
        <v>1</v>
      </c>
      <c r="BK6" s="6">
        <v>1</v>
      </c>
      <c r="BL6" s="6" t="s">
        <v>8</v>
      </c>
      <c r="CC6" s="6" t="s">
        <v>8</v>
      </c>
      <c r="CF6" s="6" t="s">
        <v>8</v>
      </c>
      <c r="CI6" s="6" t="s">
        <v>8</v>
      </c>
      <c r="CK6" s="6" t="s">
        <v>8</v>
      </c>
      <c r="CM6" s="6" t="s">
        <v>8</v>
      </c>
      <c r="CO6" s="6" t="s">
        <v>8</v>
      </c>
      <c r="DC6" s="6" t="s">
        <v>8</v>
      </c>
    </row>
    <row r="7" spans="1:120" s="6" customFormat="1">
      <c r="A7" t="str">
        <f>HYPERLINK(".\links\pep\TI-217-pep.txt","TI-217")</f>
        <v>TI-217</v>
      </c>
      <c r="B7">
        <v>217</v>
      </c>
      <c r="C7" t="s">
        <v>22</v>
      </c>
      <c r="D7">
        <v>180</v>
      </c>
      <c r="E7">
        <v>0</v>
      </c>
      <c r="F7" t="str">
        <f>HYPERLINK(".\links\cds\TI-217-cds.txt","TI-217")</f>
        <v>TI-217</v>
      </c>
      <c r="G7">
        <v>538</v>
      </c>
      <c r="H7"/>
      <c r="I7" t="s">
        <v>8</v>
      </c>
      <c r="J7" t="s">
        <v>8</v>
      </c>
      <c r="K7">
        <v>0</v>
      </c>
      <c r="L7">
        <v>3</v>
      </c>
      <c r="M7">
        <f t="shared" ref="M7:M12" si="2">K7-L7</f>
        <v>-3</v>
      </c>
      <c r="N7">
        <f t="shared" ref="N7:N12" si="3">ABS(K7-L7)</f>
        <v>3</v>
      </c>
      <c r="O7" t="s">
        <v>1216</v>
      </c>
      <c r="P7" t="s">
        <v>1203</v>
      </c>
      <c r="Q7" t="str">
        <f>HYPERLINK(".\links\NR-LIGHT\TI-217-NR-LIGHT.txt","NR-LIGHT")</f>
        <v>NR-LIGHT</v>
      </c>
      <c r="R7" s="3">
        <v>1.9999999999999999E-39</v>
      </c>
      <c r="S7">
        <v>39</v>
      </c>
      <c r="T7" t="str">
        <f>HYPERLINK(".\links\NR-LIGHT\TI-217-NR-LIGHT.txt","truncated histone H1")</f>
        <v>truncated histone H1</v>
      </c>
      <c r="U7" t="str">
        <f>HYPERLINK("http://www.ncbi.nlm.nih.gov/sutils/blink.cgi?pid=149689210","2E-039")</f>
        <v>2E-039</v>
      </c>
      <c r="V7" t="str">
        <f>HYPERLINK("http://www.ncbi.nlm.nih.gov/protein/149689210","gi|149689210")</f>
        <v>gi|149689210</v>
      </c>
      <c r="W7">
        <v>163</v>
      </c>
      <c r="X7">
        <v>76</v>
      </c>
      <c r="Y7">
        <v>197</v>
      </c>
      <c r="Z7">
        <v>98</v>
      </c>
      <c r="AA7">
        <v>39</v>
      </c>
      <c r="AB7">
        <v>1</v>
      </c>
      <c r="AC7">
        <v>0</v>
      </c>
      <c r="AD7">
        <v>40</v>
      </c>
      <c r="AE7">
        <v>29</v>
      </c>
      <c r="AF7">
        <v>1</v>
      </c>
      <c r="AG7"/>
      <c r="AH7" t="s">
        <v>13</v>
      </c>
      <c r="AI7" t="s">
        <v>51</v>
      </c>
      <c r="AJ7" t="s">
        <v>273</v>
      </c>
      <c r="AK7" t="str">
        <f>HYPERLINK(".\links\SWISSP\TI-217-SWISSP.txt","Histone H1 OS=Drosophila melanogaster GN=His1 PE=1 SV=1")</f>
        <v>Histone H1 OS=Drosophila melanogaster GN=His1 PE=1 SV=1</v>
      </c>
      <c r="AL7" t="str">
        <f>HYPERLINK("http://www.uniprot.org/uniprot/P02255","3E-025")</f>
        <v>3E-025</v>
      </c>
      <c r="AM7" t="s">
        <v>163</v>
      </c>
      <c r="AN7">
        <v>114</v>
      </c>
      <c r="AO7">
        <v>74</v>
      </c>
      <c r="AP7">
        <v>256</v>
      </c>
      <c r="AQ7">
        <v>68</v>
      </c>
      <c r="AR7">
        <v>29</v>
      </c>
      <c r="AS7">
        <v>24</v>
      </c>
      <c r="AT7">
        <v>0</v>
      </c>
      <c r="AU7">
        <v>46</v>
      </c>
      <c r="AV7">
        <v>29</v>
      </c>
      <c r="AW7">
        <v>1</v>
      </c>
      <c r="AX7" t="s">
        <v>52</v>
      </c>
      <c r="AY7" t="str">
        <f>HYPERLINK(".\links\PREV-RHOD-PEP\TI-217-PREV-RHOD-PEP.txt","Contig18070_21")</f>
        <v>Contig18070_21</v>
      </c>
      <c r="AZ7" s="3">
        <v>1.0000000000000001E-37</v>
      </c>
      <c r="BA7" t="s">
        <v>1081</v>
      </c>
      <c r="BB7">
        <v>151</v>
      </c>
      <c r="BC7">
        <v>75</v>
      </c>
      <c r="BD7">
        <v>208</v>
      </c>
      <c r="BE7">
        <v>94</v>
      </c>
      <c r="BF7">
        <v>37</v>
      </c>
      <c r="BG7">
        <v>4</v>
      </c>
      <c r="BH7">
        <v>0</v>
      </c>
      <c r="BI7">
        <v>41</v>
      </c>
      <c r="BJ7">
        <v>29</v>
      </c>
      <c r="BK7">
        <v>1</v>
      </c>
      <c r="BL7" t="s">
        <v>709</v>
      </c>
      <c r="BM7">
        <f>HYPERLINK(".\links\GO\TI-217-GO.txt",8E-26)</f>
        <v>8.0000000000000003E-26</v>
      </c>
      <c r="BN7" t="s">
        <v>467</v>
      </c>
      <c r="BO7" t="s">
        <v>340</v>
      </c>
      <c r="BP7" t="s">
        <v>468</v>
      </c>
      <c r="BQ7" t="s">
        <v>469</v>
      </c>
      <c r="BR7" s="3">
        <v>8.0000000000000003E-26</v>
      </c>
      <c r="BS7" t="s">
        <v>447</v>
      </c>
      <c r="BT7" t="s">
        <v>323</v>
      </c>
      <c r="BU7" t="s">
        <v>334</v>
      </c>
      <c r="BV7" t="s">
        <v>448</v>
      </c>
      <c r="BW7" s="3">
        <v>8.0000000000000003E-26</v>
      </c>
      <c r="BX7" t="s">
        <v>710</v>
      </c>
      <c r="BY7" t="s">
        <v>340</v>
      </c>
      <c r="BZ7" t="s">
        <v>468</v>
      </c>
      <c r="CA7" t="s">
        <v>711</v>
      </c>
      <c r="CB7" s="3">
        <v>8.0000000000000003E-26</v>
      </c>
      <c r="CC7" t="s">
        <v>8</v>
      </c>
      <c r="CD7"/>
      <c r="CE7"/>
      <c r="CF7" t="s">
        <v>8</v>
      </c>
      <c r="CG7"/>
      <c r="CH7"/>
      <c r="CI7" t="s">
        <v>8</v>
      </c>
      <c r="CJ7"/>
      <c r="CK7" t="s">
        <v>8</v>
      </c>
      <c r="CL7"/>
      <c r="CM7" t="s">
        <v>8</v>
      </c>
      <c r="CN7"/>
      <c r="CO7" t="s">
        <v>8</v>
      </c>
      <c r="CP7"/>
      <c r="CQ7"/>
      <c r="CR7"/>
      <c r="CS7"/>
      <c r="CT7"/>
      <c r="CU7"/>
      <c r="CV7"/>
      <c r="CW7"/>
      <c r="CX7"/>
      <c r="CY7"/>
      <c r="CZ7"/>
      <c r="DA7"/>
      <c r="DB7"/>
      <c r="DC7" t="s">
        <v>8</v>
      </c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6" customFormat="1">
      <c r="A8" t="str">
        <f>HYPERLINK(".\links\pep\TI-231-pep.txt","TI-231")</f>
        <v>TI-231</v>
      </c>
      <c r="B8">
        <v>231</v>
      </c>
      <c r="C8" t="s">
        <v>7</v>
      </c>
      <c r="D8">
        <v>143</v>
      </c>
      <c r="E8">
        <v>0</v>
      </c>
      <c r="F8" t="str">
        <f>HYPERLINK(".\links\cds\TI-231-cds.txt","TI-231")</f>
        <v>TI-231</v>
      </c>
      <c r="G8">
        <v>432</v>
      </c>
      <c r="H8"/>
      <c r="I8" t="s">
        <v>29</v>
      </c>
      <c r="J8" t="s">
        <v>6</v>
      </c>
      <c r="K8">
        <v>1</v>
      </c>
      <c r="L8">
        <v>6</v>
      </c>
      <c r="M8">
        <f t="shared" si="2"/>
        <v>-5</v>
      </c>
      <c r="N8">
        <f t="shared" si="3"/>
        <v>5</v>
      </c>
      <c r="O8" t="s">
        <v>1205</v>
      </c>
      <c r="P8" t="s">
        <v>1178</v>
      </c>
      <c r="Q8" t="str">
        <f>HYPERLINK(".\links\NR-LIGHT\TI-231-NR-LIGHT.txt","NR-LIGHT")</f>
        <v>NR-LIGHT</v>
      </c>
      <c r="R8" s="3">
        <v>9.9999999999999997E-61</v>
      </c>
      <c r="S8">
        <v>91.7</v>
      </c>
      <c r="T8" t="str">
        <f>HYPERLINK(".\links\NR-LIGHT\TI-231-NR-LIGHT.txt","hypothetical protein")</f>
        <v>hypothetical protein</v>
      </c>
      <c r="U8" t="str">
        <f>HYPERLINK("http://www.ncbi.nlm.nih.gov/sutils/blink.cgi?pid=149898792","1E-060")</f>
        <v>1E-060</v>
      </c>
      <c r="V8" t="str">
        <f>HYPERLINK("http://www.ncbi.nlm.nih.gov/protein/149898792","gi|149898792")</f>
        <v>gi|149898792</v>
      </c>
      <c r="W8">
        <v>233</v>
      </c>
      <c r="X8">
        <v>122</v>
      </c>
      <c r="Y8">
        <v>134</v>
      </c>
      <c r="Z8">
        <v>92</v>
      </c>
      <c r="AA8">
        <v>92</v>
      </c>
      <c r="AB8">
        <v>9</v>
      </c>
      <c r="AC8">
        <v>0</v>
      </c>
      <c r="AD8">
        <v>1</v>
      </c>
      <c r="AE8">
        <v>1</v>
      </c>
      <c r="AF8">
        <v>1</v>
      </c>
      <c r="AG8"/>
      <c r="AH8" t="s">
        <v>13</v>
      </c>
      <c r="AI8" t="s">
        <v>51</v>
      </c>
      <c r="AJ8" t="s">
        <v>273</v>
      </c>
      <c r="AK8" t="s">
        <v>8</v>
      </c>
      <c r="AL8"/>
      <c r="AM8"/>
      <c r="AN8"/>
      <c r="AO8"/>
      <c r="AP8"/>
      <c r="AQ8"/>
      <c r="AR8"/>
      <c r="AS8"/>
      <c r="AT8"/>
      <c r="AU8"/>
      <c r="AV8"/>
      <c r="AW8"/>
      <c r="AX8"/>
      <c r="AY8" t="str">
        <f>HYPERLINK(".\links\PREV-RHOD-PEP\TI-231-PREV-RHOD-PEP.txt","Contig17706_41")</f>
        <v>Contig17706_41</v>
      </c>
      <c r="AZ8" s="3">
        <v>2E-45</v>
      </c>
      <c r="BA8" t="s">
        <v>1085</v>
      </c>
      <c r="BB8">
        <v>177</v>
      </c>
      <c r="BC8">
        <v>95</v>
      </c>
      <c r="BD8">
        <v>126</v>
      </c>
      <c r="BE8">
        <v>88</v>
      </c>
      <c r="BF8">
        <v>76</v>
      </c>
      <c r="BG8">
        <v>11</v>
      </c>
      <c r="BH8">
        <v>0</v>
      </c>
      <c r="BI8">
        <v>1</v>
      </c>
      <c r="BJ8">
        <v>1</v>
      </c>
      <c r="BK8">
        <v>1</v>
      </c>
      <c r="BL8" t="s">
        <v>728</v>
      </c>
      <c r="BM8">
        <f>HYPERLINK(".\links\GO\TI-231-GO.txt",2E-29)</f>
        <v>1.9999999999999999E-29</v>
      </c>
      <c r="BN8" t="s">
        <v>8</v>
      </c>
      <c r="BO8" t="s">
        <v>8</v>
      </c>
      <c r="BP8" t="s">
        <v>8</v>
      </c>
      <c r="BQ8" t="s">
        <v>8</v>
      </c>
      <c r="BR8" t="s">
        <v>8</v>
      </c>
      <c r="BS8" t="s">
        <v>8</v>
      </c>
      <c r="BT8" t="s">
        <v>8</v>
      </c>
      <c r="BU8" t="s">
        <v>8</v>
      </c>
      <c r="BV8" t="s">
        <v>8</v>
      </c>
      <c r="BW8" t="s">
        <v>8</v>
      </c>
      <c r="BX8" t="s">
        <v>729</v>
      </c>
      <c r="BY8" t="s">
        <v>444</v>
      </c>
      <c r="BZ8" t="s">
        <v>445</v>
      </c>
      <c r="CA8" t="s">
        <v>730</v>
      </c>
      <c r="CB8" s="3">
        <v>1.9999999999999999E-29</v>
      </c>
      <c r="CC8" t="s">
        <v>8</v>
      </c>
      <c r="CD8"/>
      <c r="CE8"/>
      <c r="CF8" t="s">
        <v>8</v>
      </c>
      <c r="CG8"/>
      <c r="CH8"/>
      <c r="CI8" t="s">
        <v>8</v>
      </c>
      <c r="CJ8"/>
      <c r="CK8" t="s">
        <v>8</v>
      </c>
      <c r="CL8"/>
      <c r="CM8" t="s">
        <v>8</v>
      </c>
      <c r="CN8"/>
      <c r="CO8" t="s">
        <v>8</v>
      </c>
      <c r="CP8"/>
      <c r="CQ8"/>
      <c r="CR8"/>
      <c r="CS8"/>
      <c r="CT8"/>
      <c r="CU8"/>
      <c r="CV8"/>
      <c r="CW8"/>
      <c r="CX8"/>
      <c r="CY8"/>
      <c r="CZ8"/>
      <c r="DA8"/>
      <c r="DB8"/>
      <c r="DC8" t="s">
        <v>8</v>
      </c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6" customFormat="1">
      <c r="A9" s="6" t="str">
        <f>HYPERLINK(".\links\pep\TI-261-pep.txt","TI-261")</f>
        <v>TI-261</v>
      </c>
      <c r="B9" s="6">
        <v>261</v>
      </c>
      <c r="C9" s="6" t="s">
        <v>11</v>
      </c>
      <c r="D9" s="6">
        <v>17</v>
      </c>
      <c r="E9" s="6">
        <v>0</v>
      </c>
      <c r="F9" s="6" t="str">
        <f>HYPERLINK(".\links\cds\TI-261-cds.txt","TI-261")</f>
        <v>TI-261</v>
      </c>
      <c r="G9" s="6">
        <v>54</v>
      </c>
      <c r="I9" s="6" t="s">
        <v>8</v>
      </c>
      <c r="J9" s="6" t="s">
        <v>6</v>
      </c>
      <c r="K9" s="6">
        <v>0</v>
      </c>
      <c r="L9" s="6">
        <v>4</v>
      </c>
      <c r="M9" s="6">
        <f t="shared" si="2"/>
        <v>-4</v>
      </c>
      <c r="N9" s="6">
        <f t="shared" si="3"/>
        <v>4</v>
      </c>
      <c r="O9" s="6" t="s">
        <v>1170</v>
      </c>
      <c r="P9" s="6" t="s">
        <v>1171</v>
      </c>
      <c r="T9" s="6" t="s">
        <v>8</v>
      </c>
      <c r="AK9" s="6" t="s">
        <v>8</v>
      </c>
      <c r="AY9" s="6" t="s">
        <v>8</v>
      </c>
      <c r="BL9" s="6" t="s">
        <v>8</v>
      </c>
      <c r="CC9" s="6" t="s">
        <v>8</v>
      </c>
      <c r="CF9" s="6" t="s">
        <v>8</v>
      </c>
      <c r="CI9" s="6" t="s">
        <v>8</v>
      </c>
      <c r="CK9" s="6" t="s">
        <v>8</v>
      </c>
      <c r="CM9" s="6" t="s">
        <v>8</v>
      </c>
      <c r="CO9" s="6" t="str">
        <f>HYPERLINK(".\links\MIT-PLA\TI-261-MIT-PLA.txt","TSA: Triatoma matogrossensis Tm-536 cytochrome c oxidase subunit I mRNA, partial")</f>
        <v>TSA: Triatoma matogrossensis Tm-536 cytochrome c oxidase subunit I mRNA, partial</v>
      </c>
      <c r="CP9" s="6" t="str">
        <f>HYPERLINK("http://www.ncbi.nlm.nih.gov/entrez/viewer.fcgi?db=nucleotide&amp;val=307095173","3E-007")</f>
        <v>3E-007</v>
      </c>
      <c r="CQ9" s="6" t="str">
        <f>HYPERLINK("http://www.ncbi.nlm.nih.gov/entrez/viewer.fcgi?db=nucleotide&amp;val=307095173","gi|307095173")</f>
        <v>gi|307095173</v>
      </c>
      <c r="CR9" s="6">
        <v>48.1</v>
      </c>
      <c r="CS9" s="6">
        <v>27</v>
      </c>
      <c r="CT9" s="6">
        <v>1068</v>
      </c>
      <c r="CU9" s="6">
        <v>96</v>
      </c>
      <c r="CV9" s="6">
        <v>3</v>
      </c>
      <c r="CW9" s="6">
        <v>1</v>
      </c>
      <c r="CX9" s="6">
        <v>0</v>
      </c>
      <c r="CY9" s="6">
        <v>13</v>
      </c>
      <c r="CZ9" s="6">
        <v>10</v>
      </c>
      <c r="DA9" s="6">
        <v>1</v>
      </c>
      <c r="DB9" s="6" t="s">
        <v>51</v>
      </c>
      <c r="DC9" s="6" t="s">
        <v>8</v>
      </c>
    </row>
    <row r="10" spans="1:120" s="6" customFormat="1">
      <c r="A10" t="str">
        <f>HYPERLINK(".\links\pep\TI-265-pep.txt","TI-265")</f>
        <v>TI-265</v>
      </c>
      <c r="B10">
        <v>265</v>
      </c>
      <c r="C10" t="s">
        <v>15</v>
      </c>
      <c r="D10">
        <v>206</v>
      </c>
      <c r="E10">
        <v>0</v>
      </c>
      <c r="F10" t="str">
        <f>HYPERLINK(".\links\cds\TI-265-cds.txt","TI-265")</f>
        <v>TI-265</v>
      </c>
      <c r="G10">
        <v>621</v>
      </c>
      <c r="H10"/>
      <c r="I10" t="s">
        <v>8</v>
      </c>
      <c r="J10" t="s">
        <v>6</v>
      </c>
      <c r="K10">
        <v>1</v>
      </c>
      <c r="L10">
        <v>12</v>
      </c>
      <c r="M10">
        <f t="shared" si="2"/>
        <v>-11</v>
      </c>
      <c r="N10">
        <f t="shared" si="3"/>
        <v>11</v>
      </c>
      <c r="O10" t="s">
        <v>1305</v>
      </c>
      <c r="P10" t="s">
        <v>1178</v>
      </c>
      <c r="Q10" t="str">
        <f>HYPERLINK(".\links\NR-LIGHT\TI-265-NR-LIGHT.txt","NR-LIGHT")</f>
        <v>NR-LIGHT</v>
      </c>
      <c r="R10" s="3">
        <v>1.0000000000000001E-31</v>
      </c>
      <c r="S10">
        <v>44.3</v>
      </c>
      <c r="T10" t="str">
        <f>HYPERLINK(".\links\NR-LIGHT\TI-265-NR-LIGHT.txt","predicted RNA-binding protein")</f>
        <v>predicted RNA-binding protein</v>
      </c>
      <c r="U10" t="str">
        <f>HYPERLINK("http://www.ncbi.nlm.nih.gov/sutils/blink.cgi?pid=149898790","1E-031")</f>
        <v>1E-031</v>
      </c>
      <c r="V10" t="str">
        <f>HYPERLINK("http://www.ncbi.nlm.nih.gov/protein/149898790","gi|149898790")</f>
        <v>gi|149898790</v>
      </c>
      <c r="W10">
        <v>138</v>
      </c>
      <c r="X10">
        <v>132</v>
      </c>
      <c r="Y10">
        <v>300</v>
      </c>
      <c r="Z10">
        <v>57</v>
      </c>
      <c r="AA10">
        <v>44</v>
      </c>
      <c r="AB10">
        <v>56</v>
      </c>
      <c r="AC10">
        <v>0</v>
      </c>
      <c r="AD10">
        <v>140</v>
      </c>
      <c r="AE10">
        <v>1</v>
      </c>
      <c r="AF10">
        <v>1</v>
      </c>
      <c r="AG10"/>
      <c r="AH10" t="s">
        <v>13</v>
      </c>
      <c r="AI10" t="s">
        <v>51</v>
      </c>
      <c r="AJ10" t="s">
        <v>273</v>
      </c>
      <c r="AK10" t="s">
        <v>8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 t="str">
        <f>HYPERLINK(".\links\PREV-RHOD-PEP\TI-265-PREV-RHOD-PEP.txt","Contig18051_98")</f>
        <v>Contig18051_98</v>
      </c>
      <c r="AZ10" s="3">
        <v>3.0000000000000002E-36</v>
      </c>
      <c r="BA10" t="s">
        <v>1095</v>
      </c>
      <c r="BB10">
        <v>147</v>
      </c>
      <c r="BC10">
        <v>203</v>
      </c>
      <c r="BD10">
        <v>343</v>
      </c>
      <c r="BE10">
        <v>46</v>
      </c>
      <c r="BF10">
        <v>59</v>
      </c>
      <c r="BG10">
        <v>110</v>
      </c>
      <c r="BH10">
        <v>2</v>
      </c>
      <c r="BI10">
        <v>140</v>
      </c>
      <c r="BJ10">
        <v>1</v>
      </c>
      <c r="BK10">
        <v>1</v>
      </c>
      <c r="BL10" t="s">
        <v>8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 t="s">
        <v>8</v>
      </c>
      <c r="CD10"/>
      <c r="CE10"/>
      <c r="CF10" t="s">
        <v>8</v>
      </c>
      <c r="CG10"/>
      <c r="CH10"/>
      <c r="CI10" t="s">
        <v>8</v>
      </c>
      <c r="CJ10"/>
      <c r="CK10" t="s">
        <v>8</v>
      </c>
      <c r="CL10"/>
      <c r="CM10" t="s">
        <v>8</v>
      </c>
      <c r="CN10"/>
      <c r="CO10" t="s">
        <v>8</v>
      </c>
      <c r="CP10"/>
      <c r="CQ10"/>
      <c r="CR10"/>
      <c r="CS10"/>
      <c r="CT10"/>
      <c r="CU10"/>
      <c r="CV10"/>
      <c r="CW10"/>
      <c r="CX10"/>
      <c r="CY10"/>
      <c r="CZ10"/>
      <c r="DA10"/>
      <c r="DB10"/>
      <c r="DC10" t="s">
        <v>8</v>
      </c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6" customFormat="1">
      <c r="A11" s="6" t="str">
        <f>HYPERLINK(".\links\pep\TI-276-pep.txt","TI-276")</f>
        <v>TI-276</v>
      </c>
      <c r="B11" s="6">
        <v>276</v>
      </c>
      <c r="C11" s="6" t="s">
        <v>26</v>
      </c>
      <c r="D11" s="6">
        <v>15</v>
      </c>
      <c r="E11" s="6">
        <v>0</v>
      </c>
      <c r="F11" s="6" t="str">
        <f>HYPERLINK(".\links\cds\TI-276-cds.txt","TI-276")</f>
        <v>TI-276</v>
      </c>
      <c r="G11" s="6">
        <v>48</v>
      </c>
      <c r="I11" s="6" t="s">
        <v>8</v>
      </c>
      <c r="J11" s="6" t="s">
        <v>6</v>
      </c>
      <c r="K11" s="6">
        <v>0</v>
      </c>
      <c r="L11" s="6">
        <v>5</v>
      </c>
      <c r="M11" s="6">
        <f t="shared" si="2"/>
        <v>-5</v>
      </c>
      <c r="N11" s="6">
        <f t="shared" si="3"/>
        <v>5</v>
      </c>
      <c r="O11" s="6" t="s">
        <v>1170</v>
      </c>
      <c r="P11" s="6" t="s">
        <v>1171</v>
      </c>
      <c r="T11" s="6" t="s">
        <v>8</v>
      </c>
      <c r="AK11" s="6" t="s">
        <v>8</v>
      </c>
      <c r="AY11" s="6" t="s">
        <v>8</v>
      </c>
      <c r="BL11" s="6" t="s">
        <v>8</v>
      </c>
      <c r="CC11" s="6" t="s">
        <v>8</v>
      </c>
      <c r="CF11" s="6" t="s">
        <v>8</v>
      </c>
      <c r="CI11" s="6" t="s">
        <v>8</v>
      </c>
      <c r="CK11" s="6" t="s">
        <v>8</v>
      </c>
      <c r="CM11" s="6" t="s">
        <v>8</v>
      </c>
      <c r="CO11" s="6" t="s">
        <v>8</v>
      </c>
      <c r="DC11" s="6" t="s">
        <v>8</v>
      </c>
    </row>
    <row r="12" spans="1:120" s="6" customFormat="1">
      <c r="A12" s="6" t="str">
        <f>HYPERLINK(".\links\pep\TI-283-pep.txt","TI-283")</f>
        <v>TI-283</v>
      </c>
      <c r="B12" s="6">
        <v>283</v>
      </c>
      <c r="C12" s="6" t="s">
        <v>17</v>
      </c>
      <c r="D12" s="6">
        <v>232</v>
      </c>
      <c r="E12" s="6">
        <v>0</v>
      </c>
      <c r="F12" s="6" t="str">
        <f>HYPERLINK(".\links\cds\TI-283-cds.txt","TI-283")</f>
        <v>TI-283</v>
      </c>
      <c r="G12" s="6">
        <v>699</v>
      </c>
      <c r="I12" s="6" t="s">
        <v>8</v>
      </c>
      <c r="J12" s="6" t="s">
        <v>6</v>
      </c>
      <c r="K12" s="6">
        <v>0</v>
      </c>
      <c r="L12" s="6">
        <v>3</v>
      </c>
      <c r="M12" s="6">
        <f t="shared" si="2"/>
        <v>-3</v>
      </c>
      <c r="N12" s="6">
        <f t="shared" si="3"/>
        <v>3</v>
      </c>
      <c r="O12" s="6" t="s">
        <v>1170</v>
      </c>
      <c r="P12" s="6" t="s">
        <v>1171</v>
      </c>
      <c r="T12" s="6" t="str">
        <f>HYPERLINK(".\links\NR-LIGHT\TI-283-NR-LIGHT.txt","DNA primase")</f>
        <v>DNA primase</v>
      </c>
      <c r="U12" s="6" t="str">
        <f>HYPERLINK("http://www.ncbi.nlm.nih.gov/sutils/blink.cgi?pid=322376486","0.49")</f>
        <v>0.49</v>
      </c>
      <c r="V12" s="6" t="str">
        <f>HYPERLINK("http://www.ncbi.nlm.nih.gov/protein/322376486","gi|322376486")</f>
        <v>gi|322376486</v>
      </c>
      <c r="W12" s="6">
        <v>37</v>
      </c>
      <c r="X12" s="6">
        <v>76</v>
      </c>
      <c r="Y12" s="6">
        <v>567</v>
      </c>
      <c r="Z12" s="6">
        <v>28</v>
      </c>
      <c r="AA12" s="6">
        <v>14</v>
      </c>
      <c r="AB12" s="6">
        <v>55</v>
      </c>
      <c r="AC12" s="6">
        <v>1</v>
      </c>
      <c r="AD12" s="6">
        <v>160</v>
      </c>
      <c r="AE12" s="6">
        <v>99</v>
      </c>
      <c r="AF12" s="6">
        <v>1</v>
      </c>
      <c r="AH12" s="6" t="s">
        <v>13</v>
      </c>
      <c r="AI12" s="6" t="s">
        <v>51</v>
      </c>
      <c r="AJ12" s="6" t="s">
        <v>289</v>
      </c>
      <c r="AK12" s="6" t="s">
        <v>8</v>
      </c>
      <c r="AY12" s="6" t="s">
        <v>8</v>
      </c>
      <c r="BL12" s="6" t="s">
        <v>8</v>
      </c>
      <c r="CC12" s="6" t="s">
        <v>8</v>
      </c>
      <c r="CF12" s="6" t="s">
        <v>8</v>
      </c>
      <c r="CI12" s="6" t="s">
        <v>8</v>
      </c>
      <c r="CK12" s="6" t="s">
        <v>8</v>
      </c>
      <c r="CM12" s="6" t="s">
        <v>8</v>
      </c>
      <c r="CO12" s="6" t="s">
        <v>8</v>
      </c>
      <c r="DC12" s="6" t="s">
        <v>8</v>
      </c>
    </row>
    <row r="13" spans="1:120" s="6" customFormat="1">
      <c r="A13" s="6" t="str">
        <f>HYPERLINK(".\links\pep\TI-289-pep.txt","TI-289")</f>
        <v>TI-289</v>
      </c>
      <c r="B13" s="6">
        <v>289</v>
      </c>
      <c r="C13" s="6" t="s">
        <v>22</v>
      </c>
      <c r="D13" s="6">
        <v>43</v>
      </c>
      <c r="E13" s="6">
        <v>0</v>
      </c>
      <c r="F13" s="6" t="str">
        <f>HYPERLINK(".\links\cds\TI-289-cds.txt","TI-289")</f>
        <v>TI-289</v>
      </c>
      <c r="G13" s="6">
        <v>132</v>
      </c>
      <c r="I13" s="6" t="s">
        <v>8</v>
      </c>
      <c r="J13" s="6" t="s">
        <v>6</v>
      </c>
      <c r="K13" s="6">
        <v>1</v>
      </c>
      <c r="L13" s="6">
        <v>5</v>
      </c>
      <c r="M13" s="6">
        <f t="shared" ref="M13:M14" si="4">K13-L13</f>
        <v>-4</v>
      </c>
      <c r="N13" s="6">
        <f t="shared" ref="N13:N14" si="5">ABS(K13-L13)</f>
        <v>4</v>
      </c>
      <c r="O13" s="6" t="s">
        <v>1170</v>
      </c>
      <c r="P13" s="6" t="s">
        <v>1171</v>
      </c>
      <c r="T13" s="6" t="s">
        <v>8</v>
      </c>
      <c r="AK13" s="6" t="s">
        <v>8</v>
      </c>
      <c r="AY13" s="6" t="s">
        <v>8</v>
      </c>
      <c r="BL13" s="6" t="s">
        <v>8</v>
      </c>
      <c r="CC13" s="6" t="s">
        <v>8</v>
      </c>
      <c r="CF13" s="6" t="s">
        <v>8</v>
      </c>
      <c r="CI13" s="6" t="s">
        <v>8</v>
      </c>
      <c r="CK13" s="6" t="s">
        <v>8</v>
      </c>
      <c r="CM13" s="6" t="s">
        <v>8</v>
      </c>
      <c r="CO13" s="6" t="s">
        <v>8</v>
      </c>
      <c r="DC13" s="6" t="s">
        <v>8</v>
      </c>
    </row>
    <row r="14" spans="1:120" s="6" customFormat="1">
      <c r="A14" s="6" t="str">
        <f>HYPERLINK(".\links\pep\TI-361-pep.txt","TI-361")</f>
        <v>TI-361</v>
      </c>
      <c r="B14" s="6">
        <v>361</v>
      </c>
      <c r="C14" s="6" t="s">
        <v>18</v>
      </c>
      <c r="D14" s="6">
        <v>103</v>
      </c>
      <c r="E14" s="6">
        <v>0</v>
      </c>
      <c r="F14" s="6" t="str">
        <f>HYPERLINK(".\links\cds\TI-361-cds.txt","TI-361")</f>
        <v>TI-361</v>
      </c>
      <c r="G14" s="6">
        <v>312</v>
      </c>
      <c r="I14" s="6" t="s">
        <v>8</v>
      </c>
      <c r="J14" s="6" t="s">
        <v>6</v>
      </c>
      <c r="K14" s="6">
        <v>1</v>
      </c>
      <c r="L14" s="6">
        <v>4</v>
      </c>
      <c r="M14" s="6">
        <f t="shared" si="4"/>
        <v>-3</v>
      </c>
      <c r="N14" s="6">
        <f t="shared" si="5"/>
        <v>3</v>
      </c>
      <c r="O14" s="6" t="s">
        <v>1170</v>
      </c>
      <c r="P14" s="6" t="s">
        <v>1171</v>
      </c>
      <c r="T14" s="6" t="str">
        <f>HYPERLINK(".\links\NR-LIGHT\TI-361-NR-LIGHT.txt","AGAP000109-PA")</f>
        <v>AGAP000109-PA</v>
      </c>
      <c r="U14" s="6" t="str">
        <f>HYPERLINK("http://www.ncbi.nlm.nih.gov/sutils/blink.cgi?pid=333467316","1E-006")</f>
        <v>1E-006</v>
      </c>
      <c r="V14" s="6" t="str">
        <f>HYPERLINK("http://www.ncbi.nlm.nih.gov/protein/333467316","gi|333467316")</f>
        <v>gi|333467316</v>
      </c>
      <c r="W14" s="6">
        <v>54.3</v>
      </c>
      <c r="X14" s="6">
        <v>60</v>
      </c>
      <c r="Y14" s="6">
        <v>90</v>
      </c>
      <c r="Z14" s="6">
        <v>40</v>
      </c>
      <c r="AA14" s="6">
        <v>68</v>
      </c>
      <c r="AB14" s="6">
        <v>36</v>
      </c>
      <c r="AC14" s="6">
        <v>0</v>
      </c>
      <c r="AD14" s="6">
        <v>24</v>
      </c>
      <c r="AE14" s="6">
        <v>41</v>
      </c>
      <c r="AF14" s="6">
        <v>1</v>
      </c>
      <c r="AH14" s="6" t="s">
        <v>13</v>
      </c>
      <c r="AI14" s="6" t="s">
        <v>51</v>
      </c>
      <c r="AJ14" s="6" t="s">
        <v>275</v>
      </c>
      <c r="AK14" s="6" t="str">
        <f>HYPERLINK(".\links\SWISSP\TI-361-SWISSP.txt","Cytochrome c oxidase subunit 7A1, mitochondrial OS=Saimiri sciureus GN=COX7A1")</f>
        <v>Cytochrome c oxidase subunit 7A1, mitochondrial OS=Saimiri sciureus GN=COX7A1</v>
      </c>
      <c r="AL14" s="6" t="str">
        <f>HYPERLINK("http://www.uniprot.org/uniprot/Q53CF6","1E-004")</f>
        <v>1E-004</v>
      </c>
      <c r="AM14" s="6" t="s">
        <v>207</v>
      </c>
      <c r="AN14" s="6">
        <v>44.7</v>
      </c>
      <c r="AO14" s="6">
        <v>52</v>
      </c>
      <c r="AP14" s="6">
        <v>80</v>
      </c>
      <c r="AQ14" s="6">
        <v>36</v>
      </c>
      <c r="AR14" s="6">
        <v>66</v>
      </c>
      <c r="AS14" s="6">
        <v>38</v>
      </c>
      <c r="AT14" s="6">
        <v>7</v>
      </c>
      <c r="AU14" s="6">
        <v>14</v>
      </c>
      <c r="AV14" s="6">
        <v>33</v>
      </c>
      <c r="AW14" s="6">
        <v>1</v>
      </c>
      <c r="AX14" s="6" t="s">
        <v>208</v>
      </c>
      <c r="AY14" s="6" t="str">
        <f>HYPERLINK(".\links\PREV-RHOD-PEP\TI-361-PREV-RHOD-PEP.txt","Contig3225_5")</f>
        <v>Contig3225_5</v>
      </c>
      <c r="AZ14" s="8">
        <v>3.0000000000000003E-20</v>
      </c>
      <c r="BA14" s="6" t="s">
        <v>1122</v>
      </c>
      <c r="BB14" s="6">
        <v>93.6</v>
      </c>
      <c r="BC14" s="6">
        <v>55</v>
      </c>
      <c r="BD14" s="6">
        <v>227</v>
      </c>
      <c r="BE14" s="6">
        <v>71</v>
      </c>
      <c r="BF14" s="6">
        <v>25</v>
      </c>
      <c r="BG14" s="6">
        <v>16</v>
      </c>
      <c r="BH14" s="6">
        <v>0</v>
      </c>
      <c r="BI14" s="6">
        <v>148</v>
      </c>
      <c r="BJ14" s="6">
        <v>44</v>
      </c>
      <c r="BK14" s="6">
        <v>1</v>
      </c>
      <c r="BL14" s="6" t="s">
        <v>840</v>
      </c>
      <c r="BM14" s="6">
        <f>HYPERLINK(".\links\GO\TI-361-GO.txt",0.002)</f>
        <v>2E-3</v>
      </c>
      <c r="BN14" s="6" t="s">
        <v>841</v>
      </c>
      <c r="BO14" s="6" t="s">
        <v>319</v>
      </c>
      <c r="BP14" s="6" t="s">
        <v>320</v>
      </c>
      <c r="BQ14" s="6" t="s">
        <v>842</v>
      </c>
      <c r="BR14" s="6">
        <v>2E-3</v>
      </c>
      <c r="BS14" s="6" t="s">
        <v>843</v>
      </c>
      <c r="BT14" s="6" t="s">
        <v>323</v>
      </c>
      <c r="BU14" s="6" t="s">
        <v>551</v>
      </c>
      <c r="BV14" s="6" t="s">
        <v>844</v>
      </c>
      <c r="BW14" s="6">
        <v>2E-3</v>
      </c>
      <c r="BX14" s="6" t="s">
        <v>845</v>
      </c>
      <c r="BY14" s="6" t="s">
        <v>319</v>
      </c>
      <c r="BZ14" s="6" t="s">
        <v>320</v>
      </c>
      <c r="CA14" s="6" t="s">
        <v>846</v>
      </c>
      <c r="CB14" s="6">
        <v>2E-3</v>
      </c>
      <c r="CC14" s="6" t="s">
        <v>8</v>
      </c>
      <c r="CF14" s="6" t="s">
        <v>8</v>
      </c>
      <c r="CI14" s="6" t="s">
        <v>8</v>
      </c>
      <c r="CJ14" s="6" t="s">
        <v>8</v>
      </c>
      <c r="CL14" s="6" t="s">
        <v>8</v>
      </c>
      <c r="CN14" s="6" t="s">
        <v>8</v>
      </c>
    </row>
    <row r="15" spans="1:120" s="6" customFormat="1">
      <c r="A15" s="6" t="str">
        <f>HYPERLINK(".\links\pep\TI-424-pep.txt","TI-424")</f>
        <v>TI-424</v>
      </c>
      <c r="B15" s="6">
        <v>424</v>
      </c>
      <c r="C15" s="6" t="s">
        <v>7</v>
      </c>
      <c r="D15" s="6">
        <v>105</v>
      </c>
      <c r="E15" s="6">
        <v>0</v>
      </c>
      <c r="F15" s="6" t="str">
        <f>HYPERLINK(".\links\cds\TI-424-cds.txt","TI-424")</f>
        <v>TI-424</v>
      </c>
      <c r="G15" s="6">
        <v>318</v>
      </c>
      <c r="I15" s="6" t="s">
        <v>29</v>
      </c>
      <c r="J15" s="6" t="s">
        <v>6</v>
      </c>
      <c r="K15" s="6">
        <v>1</v>
      </c>
      <c r="L15" s="6">
        <v>4</v>
      </c>
      <c r="M15" s="6">
        <f t="shared" ref="M15:M16" si="6">K15-L15</f>
        <v>-3</v>
      </c>
      <c r="N15" s="6">
        <f t="shared" ref="N15:N16" si="7">ABS(K15-L15)</f>
        <v>3</v>
      </c>
      <c r="O15" s="6" t="s">
        <v>1170</v>
      </c>
      <c r="P15" s="6" t="s">
        <v>1171</v>
      </c>
      <c r="T15" s="6" t="str">
        <f>HYPERLINK(".\links\NR-LIGHT\TI-424-NR-LIGHT.txt","unnamed protein product")</f>
        <v>unnamed protein product</v>
      </c>
      <c r="U15" s="6" t="str">
        <f>HYPERLINK("http://www.ncbi.nlm.nih.gov/sutils/blink.cgi?pid=10177771","0.21")</f>
        <v>0.21</v>
      </c>
      <c r="V15" s="6" t="str">
        <f>HYPERLINK("http://www.ncbi.nlm.nih.gov/protein/10177771","gi|10177771")</f>
        <v>gi|10177771</v>
      </c>
      <c r="W15" s="6">
        <v>36.6</v>
      </c>
      <c r="X15" s="6">
        <v>45</v>
      </c>
      <c r="Y15" s="6">
        <v>326</v>
      </c>
      <c r="Z15" s="6">
        <v>34</v>
      </c>
      <c r="AA15" s="6">
        <v>14</v>
      </c>
      <c r="AB15" s="6">
        <v>33</v>
      </c>
      <c r="AC15" s="6">
        <v>4</v>
      </c>
      <c r="AD15" s="6">
        <v>128</v>
      </c>
      <c r="AE15" s="6">
        <v>56</v>
      </c>
      <c r="AF15" s="6">
        <v>1</v>
      </c>
      <c r="AH15" s="6" t="s">
        <v>13</v>
      </c>
      <c r="AI15" s="6" t="s">
        <v>51</v>
      </c>
      <c r="AJ15" s="6" t="s">
        <v>291</v>
      </c>
      <c r="AK15" s="6" t="s">
        <v>8</v>
      </c>
      <c r="AY15" s="6" t="str">
        <f>HYPERLINK(".\links\PREV-RHOD-PEP\TI-424-PREV-RHOD-PEP.txt","Contig17970_431")</f>
        <v>Contig17970_431</v>
      </c>
      <c r="AZ15" s="8">
        <v>2.9999999999999998E-13</v>
      </c>
      <c r="BA15" s="6" t="s">
        <v>1137</v>
      </c>
      <c r="BB15" s="6">
        <v>70.099999999999994</v>
      </c>
      <c r="BC15" s="6">
        <v>80</v>
      </c>
      <c r="BD15" s="6">
        <v>102</v>
      </c>
      <c r="BE15" s="6">
        <v>42</v>
      </c>
      <c r="BF15" s="6">
        <v>79</v>
      </c>
      <c r="BG15" s="6">
        <v>47</v>
      </c>
      <c r="BH15" s="6">
        <v>1</v>
      </c>
      <c r="BI15" s="6">
        <v>19</v>
      </c>
      <c r="BJ15" s="6">
        <v>19</v>
      </c>
      <c r="BK15" s="6">
        <v>1</v>
      </c>
      <c r="BL15" s="6" t="s">
        <v>8</v>
      </c>
      <c r="CC15" s="6" t="s">
        <v>8</v>
      </c>
      <c r="CF15" s="6" t="s">
        <v>8</v>
      </c>
      <c r="CI15" s="6" t="s">
        <v>8</v>
      </c>
      <c r="CK15" s="6" t="s">
        <v>8</v>
      </c>
      <c r="CM15" s="6" t="s">
        <v>8</v>
      </c>
      <c r="CO15" s="6" t="s">
        <v>8</v>
      </c>
      <c r="DC15" s="6" t="s">
        <v>8</v>
      </c>
    </row>
    <row r="16" spans="1:120" s="6" customFormat="1">
      <c r="A16" s="6" t="str">
        <f>HYPERLINK(".\links\pep\TI-466-pep.txt","TI-466")</f>
        <v>TI-466</v>
      </c>
      <c r="B16" s="6">
        <v>466</v>
      </c>
      <c r="C16" s="6" t="s">
        <v>10</v>
      </c>
      <c r="D16" s="6">
        <v>64</v>
      </c>
      <c r="E16" s="6">
        <v>0</v>
      </c>
      <c r="F16" s="6" t="str">
        <f>HYPERLINK(".\links\cds\TI-466-cds.txt","TI-466")</f>
        <v>TI-466</v>
      </c>
      <c r="G16" s="6">
        <v>192</v>
      </c>
      <c r="I16" s="6" t="s">
        <v>8</v>
      </c>
      <c r="J16" s="6" t="s">
        <v>8</v>
      </c>
      <c r="K16" s="6">
        <v>0</v>
      </c>
      <c r="L16" s="6">
        <v>3</v>
      </c>
      <c r="M16" s="6">
        <f t="shared" si="6"/>
        <v>-3</v>
      </c>
      <c r="N16" s="6">
        <f t="shared" si="7"/>
        <v>3</v>
      </c>
      <c r="O16" s="6" t="s">
        <v>1170</v>
      </c>
      <c r="P16" s="6" t="s">
        <v>1171</v>
      </c>
      <c r="T16" s="6" t="s">
        <v>8</v>
      </c>
      <c r="AK16" s="6" t="s">
        <v>8</v>
      </c>
      <c r="AY16" s="6" t="s">
        <v>8</v>
      </c>
      <c r="BL16" s="6" t="s">
        <v>8</v>
      </c>
      <c r="CC16" s="6" t="s">
        <v>8</v>
      </c>
      <c r="CF16" s="6" t="s">
        <v>8</v>
      </c>
      <c r="CI16" s="6" t="s">
        <v>8</v>
      </c>
      <c r="CK16" s="6" t="s">
        <v>8</v>
      </c>
      <c r="CM16" s="6" t="s">
        <v>8</v>
      </c>
      <c r="CO16" s="6" t="s">
        <v>8</v>
      </c>
      <c r="DC16" s="6" t="s">
        <v>8</v>
      </c>
    </row>
    <row r="17" spans="1:16295" s="6" customFormat="1">
      <c r="A17" t="str">
        <f>HYPERLINK(".\links\pep\TI-490-pep.txt","TI-490")</f>
        <v>TI-490</v>
      </c>
      <c r="B17">
        <v>490</v>
      </c>
      <c r="C17" t="s">
        <v>7</v>
      </c>
      <c r="D17">
        <v>94</v>
      </c>
      <c r="E17">
        <v>0</v>
      </c>
      <c r="F17" t="str">
        <f>HYPERLINK(".\links\cds\TI-490-cds.txt","TI-490")</f>
        <v>TI-490</v>
      </c>
      <c r="G17">
        <v>285</v>
      </c>
      <c r="H17"/>
      <c r="I17" t="s">
        <v>29</v>
      </c>
      <c r="J17" t="s">
        <v>6</v>
      </c>
      <c r="K17">
        <v>0</v>
      </c>
      <c r="L17">
        <v>5</v>
      </c>
      <c r="M17">
        <f t="shared" ref="M17:M18" si="8">K17-L17</f>
        <v>-5</v>
      </c>
      <c r="N17">
        <f t="shared" ref="N17:N18" si="9">ABS(K17-L17)</f>
        <v>5</v>
      </c>
      <c r="O17" t="s">
        <v>1334</v>
      </c>
      <c r="P17" t="s">
        <v>1208</v>
      </c>
      <c r="Q17" t="str">
        <f>HYPERLINK(".\links\GO\TI-490-GO.txt","GO")</f>
        <v>GO</v>
      </c>
      <c r="R17">
        <v>5.9999999999999997E-7</v>
      </c>
      <c r="S17">
        <v>100</v>
      </c>
      <c r="T17" t="str">
        <f>HYPERLINK(".\links\NR-LIGHT\TI-490-NR-LIGHT.txt","defensin")</f>
        <v>defensin</v>
      </c>
      <c r="U17" t="str">
        <f>HYPERLINK("http://www.ncbi.nlm.nih.gov/sutils/blink.cgi?pid=89112752","6E-049")</f>
        <v>6E-049</v>
      </c>
      <c r="V17" t="str">
        <f>HYPERLINK("http://www.ncbi.nlm.nih.gov/protein/89112752","gi|89112752")</f>
        <v>gi|89112752</v>
      </c>
      <c r="W17">
        <v>194</v>
      </c>
      <c r="X17">
        <v>93</v>
      </c>
      <c r="Y17">
        <v>94</v>
      </c>
      <c r="Z17">
        <v>98</v>
      </c>
      <c r="AA17">
        <v>100</v>
      </c>
      <c r="AB17">
        <v>1</v>
      </c>
      <c r="AC17">
        <v>0</v>
      </c>
      <c r="AD17">
        <v>1</v>
      </c>
      <c r="AE17">
        <v>1</v>
      </c>
      <c r="AF17">
        <v>1</v>
      </c>
      <c r="AG17"/>
      <c r="AH17" t="s">
        <v>13</v>
      </c>
      <c r="AI17" t="s">
        <v>51</v>
      </c>
      <c r="AJ17" t="s">
        <v>273</v>
      </c>
      <c r="AK17" t="str">
        <f>HYPERLINK(".\links\SWISSP\TI-490-SWISSP.txt","Defensin OS=Pyrrhocoris apterus PE=1 SV=1")</f>
        <v>Defensin OS=Pyrrhocoris apterus PE=1 SV=1</v>
      </c>
      <c r="AL17" t="str">
        <f>HYPERLINK("http://www.uniprot.org/uniprot/P37364","6E-011")</f>
        <v>6E-011</v>
      </c>
      <c r="AM17" t="s">
        <v>226</v>
      </c>
      <c r="AN17">
        <v>66.2</v>
      </c>
      <c r="AO17">
        <v>42</v>
      </c>
      <c r="AP17">
        <v>43</v>
      </c>
      <c r="AQ17">
        <v>62</v>
      </c>
      <c r="AR17">
        <v>100</v>
      </c>
      <c r="AS17">
        <v>16</v>
      </c>
      <c r="AT17">
        <v>0</v>
      </c>
      <c r="AU17">
        <v>1</v>
      </c>
      <c r="AV17">
        <v>52</v>
      </c>
      <c r="AW17">
        <v>1</v>
      </c>
      <c r="AX17" t="s">
        <v>227</v>
      </c>
      <c r="AY17" t="str">
        <f>HYPERLINK(".\links\PREV-RHOD-PEP\TI-490-PREV-RHOD-PEP.txt","Contig17966_73")</f>
        <v>Contig17966_73</v>
      </c>
      <c r="AZ17" s="3">
        <v>3.0000000000000002E-40</v>
      </c>
      <c r="BA17" t="s">
        <v>1138</v>
      </c>
      <c r="BB17">
        <v>159</v>
      </c>
      <c r="BC17">
        <v>93</v>
      </c>
      <c r="BD17">
        <v>415</v>
      </c>
      <c r="BE17">
        <v>76</v>
      </c>
      <c r="BF17">
        <v>23</v>
      </c>
      <c r="BG17">
        <v>22</v>
      </c>
      <c r="BH17">
        <v>2</v>
      </c>
      <c r="BI17">
        <v>322</v>
      </c>
      <c r="BJ17">
        <v>1</v>
      </c>
      <c r="BK17">
        <v>1</v>
      </c>
      <c r="BL17" t="s">
        <v>890</v>
      </c>
      <c r="BM17">
        <f>HYPERLINK(".\links\GO\TI-490-GO.txt",0.0000006)</f>
        <v>5.9999999999999997E-7</v>
      </c>
      <c r="BN17" t="s">
        <v>8</v>
      </c>
      <c r="BO17" t="s">
        <v>8</v>
      </c>
      <c r="BP17" t="s">
        <v>8</v>
      </c>
      <c r="BQ17" t="s">
        <v>8</v>
      </c>
      <c r="BR17" t="s">
        <v>8</v>
      </c>
      <c r="BS17" t="s">
        <v>861</v>
      </c>
      <c r="BT17" t="s">
        <v>501</v>
      </c>
      <c r="BU17" t="s">
        <v>752</v>
      </c>
      <c r="BV17" t="s">
        <v>862</v>
      </c>
      <c r="BW17">
        <v>5.9999999999999997E-7</v>
      </c>
      <c r="BX17" t="s">
        <v>891</v>
      </c>
      <c r="BY17" t="s">
        <v>345</v>
      </c>
      <c r="BZ17" t="s">
        <v>349</v>
      </c>
      <c r="CA17" t="s">
        <v>892</v>
      </c>
      <c r="CB17">
        <v>5.9999999999999997E-7</v>
      </c>
      <c r="CC17" t="s">
        <v>8</v>
      </c>
      <c r="CD17"/>
      <c r="CE17"/>
      <c r="CF17" t="s">
        <v>8</v>
      </c>
      <c r="CG17"/>
      <c r="CH17"/>
      <c r="CI17" t="s">
        <v>8</v>
      </c>
      <c r="CJ17"/>
      <c r="CK17" t="s">
        <v>8</v>
      </c>
      <c r="CL17"/>
      <c r="CM17" t="s">
        <v>8</v>
      </c>
      <c r="CN17"/>
      <c r="CO17" t="s">
        <v>8</v>
      </c>
      <c r="CP17"/>
      <c r="CQ17"/>
      <c r="CR17"/>
      <c r="CS17"/>
      <c r="CT17"/>
      <c r="CU17"/>
      <c r="CV17"/>
      <c r="CW17"/>
      <c r="CX17"/>
      <c r="CY17"/>
      <c r="CZ17"/>
      <c r="DA17"/>
      <c r="DB17"/>
      <c r="DC17" t="s">
        <v>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6295" s="6" customFormat="1">
      <c r="A18" t="str">
        <f>HYPERLINK(".\links\pep\TI-495-pep.txt","TI-495")</f>
        <v>TI-495</v>
      </c>
      <c r="B18">
        <v>495</v>
      </c>
      <c r="C18" t="s">
        <v>7</v>
      </c>
      <c r="D18">
        <v>208</v>
      </c>
      <c r="E18">
        <v>0</v>
      </c>
      <c r="F18" t="str">
        <f>HYPERLINK(".\links\cds\TI-495-cds.txt","TI-495")</f>
        <v>TI-495</v>
      </c>
      <c r="G18">
        <v>627</v>
      </c>
      <c r="H18"/>
      <c r="I18" t="s">
        <v>29</v>
      </c>
      <c r="J18" t="s">
        <v>6</v>
      </c>
      <c r="K18">
        <v>1</v>
      </c>
      <c r="L18">
        <v>4</v>
      </c>
      <c r="M18">
        <f t="shared" si="8"/>
        <v>-3</v>
      </c>
      <c r="N18">
        <f t="shared" si="9"/>
        <v>3</v>
      </c>
      <c r="O18" t="s">
        <v>1237</v>
      </c>
      <c r="P18" t="s">
        <v>1169</v>
      </c>
      <c r="Q18" t="str">
        <f>HYPERLINK(".\links\NR-LIGHT\TI-495-NR-LIGHT.txt","NR-LIGHT")</f>
        <v>NR-LIGHT</v>
      </c>
      <c r="R18">
        <v>0</v>
      </c>
      <c r="S18">
        <v>100</v>
      </c>
      <c r="T18" t="str">
        <f>HYPERLINK(".\links\NR-LIGHT\TI-495-NR-LIGHT.txt","40S ribosomal protein S8")</f>
        <v>40S ribosomal protein S8</v>
      </c>
      <c r="U18" t="str">
        <f>HYPERLINK("http://www.ncbi.nlm.nih.gov/sutils/blink.cgi?pid=149689088","1E-106")</f>
        <v>1E-106</v>
      </c>
      <c r="V18" t="str">
        <f>HYPERLINK("http://www.ncbi.nlm.nih.gov/protein/149689088","gi|149689088")</f>
        <v>gi|149689088</v>
      </c>
      <c r="W18">
        <v>387</v>
      </c>
      <c r="X18">
        <v>207</v>
      </c>
      <c r="Y18">
        <v>208</v>
      </c>
      <c r="Z18">
        <v>91</v>
      </c>
      <c r="AA18">
        <v>100</v>
      </c>
      <c r="AB18">
        <v>17</v>
      </c>
      <c r="AC18">
        <v>0</v>
      </c>
      <c r="AD18">
        <v>1</v>
      </c>
      <c r="AE18">
        <v>1</v>
      </c>
      <c r="AF18">
        <v>1</v>
      </c>
      <c r="AG18"/>
      <c r="AH18" t="s">
        <v>13</v>
      </c>
      <c r="AI18" t="s">
        <v>51</v>
      </c>
      <c r="AJ18" t="s">
        <v>273</v>
      </c>
      <c r="AK18" t="str">
        <f>HYPERLINK(".\links\SWISSP\TI-495-SWISSP.txt","40S ribosomal protein S8 OS=Apis mellifera GN=RpS8 PE=2 SV=2")</f>
        <v>40S ribosomal protein S8 OS=Apis mellifera GN=RpS8 PE=2 SV=2</v>
      </c>
      <c r="AL18" t="str">
        <f>HYPERLINK("http://www.uniprot.org/uniprot/O76756","1E-090")</f>
        <v>1E-090</v>
      </c>
      <c r="AM18" t="s">
        <v>244</v>
      </c>
      <c r="AN18">
        <v>332</v>
      </c>
      <c r="AO18">
        <v>207</v>
      </c>
      <c r="AP18">
        <v>208</v>
      </c>
      <c r="AQ18">
        <v>76</v>
      </c>
      <c r="AR18">
        <v>100</v>
      </c>
      <c r="AS18">
        <v>48</v>
      </c>
      <c r="AT18">
        <v>0</v>
      </c>
      <c r="AU18">
        <v>1</v>
      </c>
      <c r="AV18">
        <v>1</v>
      </c>
      <c r="AW18">
        <v>1</v>
      </c>
      <c r="AX18" t="s">
        <v>83</v>
      </c>
      <c r="AY18" t="str">
        <f>HYPERLINK(".\links\PREV-RHOD-PEP\TI-495-PREV-RHOD-PEP.txt","Contig17558_45")</f>
        <v>Contig17558_45</v>
      </c>
      <c r="AZ18" s="3">
        <v>9.9999999999999997E-106</v>
      </c>
      <c r="BA18" t="s">
        <v>1152</v>
      </c>
      <c r="BB18">
        <v>376</v>
      </c>
      <c r="BC18">
        <v>206</v>
      </c>
      <c r="BD18">
        <v>212</v>
      </c>
      <c r="BE18">
        <v>88</v>
      </c>
      <c r="BF18">
        <v>98</v>
      </c>
      <c r="BG18">
        <v>23</v>
      </c>
      <c r="BH18">
        <v>0</v>
      </c>
      <c r="BI18">
        <v>6</v>
      </c>
      <c r="BJ18">
        <v>2</v>
      </c>
      <c r="BK18">
        <v>1</v>
      </c>
      <c r="BL18" t="s">
        <v>948</v>
      </c>
      <c r="BM18">
        <f>HYPERLINK(".\links\GO\TI-495-GO.txt",2E-83)</f>
        <v>2.0000000000000001E-83</v>
      </c>
      <c r="BN18" t="s">
        <v>373</v>
      </c>
      <c r="BO18" t="s">
        <v>373</v>
      </c>
      <c r="BP18"/>
      <c r="BQ18" t="s">
        <v>374</v>
      </c>
      <c r="BR18" s="3">
        <v>2.0000000000000001E-83</v>
      </c>
      <c r="BS18" t="s">
        <v>431</v>
      </c>
      <c r="BT18" t="s">
        <v>323</v>
      </c>
      <c r="BU18" t="s">
        <v>334</v>
      </c>
      <c r="BV18" t="s">
        <v>432</v>
      </c>
      <c r="BW18" s="3">
        <v>2.0000000000000001E-83</v>
      </c>
      <c r="BX18" t="s">
        <v>814</v>
      </c>
      <c r="BY18" t="s">
        <v>373</v>
      </c>
      <c r="BZ18"/>
      <c r="CA18" t="s">
        <v>815</v>
      </c>
      <c r="CB18" s="3">
        <v>2.0000000000000001E-83</v>
      </c>
      <c r="CC18" t="s">
        <v>8</v>
      </c>
      <c r="CD18"/>
      <c r="CE18"/>
      <c r="CF18" t="s">
        <v>8</v>
      </c>
      <c r="CG18"/>
      <c r="CH18"/>
      <c r="CI18" t="s">
        <v>8</v>
      </c>
      <c r="CJ18"/>
      <c r="CK18" t="s">
        <v>8</v>
      </c>
      <c r="CL18"/>
      <c r="CM18" t="s">
        <v>8</v>
      </c>
      <c r="CN18"/>
      <c r="CO18" t="s">
        <v>8</v>
      </c>
      <c r="CP18"/>
      <c r="CQ18"/>
      <c r="CR18"/>
      <c r="CS18"/>
      <c r="CT18"/>
      <c r="CU18"/>
      <c r="CV18"/>
      <c r="CW18"/>
      <c r="CX18"/>
      <c r="CY18"/>
      <c r="CZ18"/>
      <c r="DA18"/>
      <c r="DB18"/>
      <c r="DC18" t="s"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6295" s="6" customFormat="1">
      <c r="A19" t="str">
        <f>HYPERLINK(".\links\pep\TI-548-pep.txt","TI-548")</f>
        <v>TI-548</v>
      </c>
      <c r="B19">
        <v>548</v>
      </c>
      <c r="C19" t="s">
        <v>7</v>
      </c>
      <c r="D19">
        <v>315</v>
      </c>
      <c r="E19">
        <v>0</v>
      </c>
      <c r="F19" t="str">
        <f>HYPERLINK(".\links\cds\TI-548-cds.txt","TI-548")</f>
        <v>TI-548</v>
      </c>
      <c r="G19">
        <v>944</v>
      </c>
      <c r="H19"/>
      <c r="I19" t="s">
        <v>29</v>
      </c>
      <c r="J19" t="s">
        <v>8</v>
      </c>
      <c r="K19">
        <v>1</v>
      </c>
      <c r="L19">
        <v>5</v>
      </c>
      <c r="M19">
        <f t="shared" ref="M19:M23" si="10">K19-L19</f>
        <v>-4</v>
      </c>
      <c r="N19">
        <f t="shared" ref="N19:N23" si="11">ABS(K19-L19)</f>
        <v>4</v>
      </c>
      <c r="O19" t="s">
        <v>1350</v>
      </c>
      <c r="P19" t="s">
        <v>1185</v>
      </c>
      <c r="Q19" t="str">
        <f>HYPERLINK(".\links\GO\TI-548-GO.txt","GO")</f>
        <v>GO</v>
      </c>
      <c r="R19">
        <v>0</v>
      </c>
      <c r="S19">
        <v>87.2</v>
      </c>
      <c r="T19" t="str">
        <f>HYPERLINK(".\links\NR-LIGHT\TI-548-NR-LIGHT.txt","arginine kinase")</f>
        <v>arginine kinase</v>
      </c>
      <c r="U19" t="str">
        <f>HYPERLINK("http://www.ncbi.nlm.nih.gov/sutils/blink.cgi?pid=116235665","0.0")</f>
        <v>0.0</v>
      </c>
      <c r="V19" t="str">
        <f>HYPERLINK("http://www.ncbi.nlm.nih.gov/protein/116235665","gi|116235665")</f>
        <v>gi|116235665</v>
      </c>
      <c r="W19">
        <v>646</v>
      </c>
      <c r="X19">
        <v>314</v>
      </c>
      <c r="Y19">
        <v>356</v>
      </c>
      <c r="Z19">
        <v>97</v>
      </c>
      <c r="AA19">
        <v>88</v>
      </c>
      <c r="AB19">
        <v>7</v>
      </c>
      <c r="AC19">
        <v>0</v>
      </c>
      <c r="AD19">
        <v>1</v>
      </c>
      <c r="AE19">
        <v>1</v>
      </c>
      <c r="AF19">
        <v>1</v>
      </c>
      <c r="AG19"/>
      <c r="AH19" t="s">
        <v>13</v>
      </c>
      <c r="AI19" t="s">
        <v>51</v>
      </c>
      <c r="AJ19" t="s">
        <v>279</v>
      </c>
      <c r="AK19" t="str">
        <f>HYPERLINK(".\links\SWISSP\TI-548-SWISSP.txt","Arginine kinase OS=Schistocerca americana GN=ARGK PE=2 SV=1")</f>
        <v>Arginine kinase OS=Schistocerca americana GN=ARGK PE=2 SV=1</v>
      </c>
      <c r="AL19" t="str">
        <f>HYPERLINK("http://www.uniprot.org/uniprot/P91798","1E-166")</f>
        <v>1E-166</v>
      </c>
      <c r="AM19" t="s">
        <v>252</v>
      </c>
      <c r="AN19">
        <v>585</v>
      </c>
      <c r="AO19">
        <v>314</v>
      </c>
      <c r="AP19">
        <v>356</v>
      </c>
      <c r="AQ19">
        <v>86</v>
      </c>
      <c r="AR19">
        <v>88</v>
      </c>
      <c r="AS19">
        <v>43</v>
      </c>
      <c r="AT19">
        <v>0</v>
      </c>
      <c r="AU19">
        <v>1</v>
      </c>
      <c r="AV19">
        <v>1</v>
      </c>
      <c r="AW19">
        <v>1</v>
      </c>
      <c r="AX19" t="s">
        <v>253</v>
      </c>
      <c r="AY19" t="str">
        <f>HYPERLINK(".\links\PREV-RHOD-PEP\TI-548-PREV-RHOD-PEP.txt","Contig17952_84")</f>
        <v>Contig17952_84</v>
      </c>
      <c r="AZ19" s="3">
        <v>5.0000000000000002E-62</v>
      </c>
      <c r="BA19" t="s">
        <v>1006</v>
      </c>
      <c r="BB19">
        <v>234</v>
      </c>
      <c r="BC19">
        <v>115</v>
      </c>
      <c r="BD19">
        <v>157</v>
      </c>
      <c r="BE19">
        <v>97</v>
      </c>
      <c r="BF19">
        <v>74</v>
      </c>
      <c r="BG19">
        <v>3</v>
      </c>
      <c r="BH19">
        <v>0</v>
      </c>
      <c r="BI19">
        <v>1</v>
      </c>
      <c r="BJ19">
        <v>1</v>
      </c>
      <c r="BK19">
        <v>1</v>
      </c>
      <c r="BL19" t="s">
        <v>428</v>
      </c>
      <c r="BM19">
        <f>HYPERLINK(".\links\GO\TI-548-GO.txt",0)</f>
        <v>0</v>
      </c>
      <c r="BN19" t="s">
        <v>429</v>
      </c>
      <c r="BO19" t="s">
        <v>345</v>
      </c>
      <c r="BP19" t="s">
        <v>346</v>
      </c>
      <c r="BQ19" t="s">
        <v>430</v>
      </c>
      <c r="BR19" s="3">
        <v>6E-68</v>
      </c>
      <c r="BS19" t="s">
        <v>431</v>
      </c>
      <c r="BT19" t="s">
        <v>323</v>
      </c>
      <c r="BU19" t="s">
        <v>334</v>
      </c>
      <c r="BV19" t="s">
        <v>432</v>
      </c>
      <c r="BW19" s="3">
        <v>6E-68</v>
      </c>
      <c r="BX19" t="s">
        <v>433</v>
      </c>
      <c r="BY19" t="s">
        <v>345</v>
      </c>
      <c r="BZ19" t="s">
        <v>346</v>
      </c>
      <c r="CA19" t="s">
        <v>434</v>
      </c>
      <c r="CB19" s="3">
        <v>6E-68</v>
      </c>
      <c r="CC19" t="s">
        <v>8</v>
      </c>
      <c r="CD19"/>
      <c r="CE19"/>
      <c r="CF19" t="s">
        <v>8</v>
      </c>
      <c r="CG19"/>
      <c r="CH19"/>
      <c r="CI19" t="s">
        <v>8</v>
      </c>
      <c r="CJ19"/>
      <c r="CK19" t="s">
        <v>8</v>
      </c>
      <c r="CL19"/>
      <c r="CM19" t="s">
        <v>8</v>
      </c>
      <c r="CN19"/>
      <c r="CO19" t="s">
        <v>8</v>
      </c>
      <c r="CP19"/>
      <c r="CQ19"/>
      <c r="CR19"/>
      <c r="CS19"/>
      <c r="CT19"/>
      <c r="CU19"/>
      <c r="CV19"/>
      <c r="CW19"/>
      <c r="CX19"/>
      <c r="CY19"/>
      <c r="CZ19"/>
      <c r="DA19"/>
      <c r="DB19"/>
      <c r="DC19" t="s"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</row>
    <row r="20" spans="1:16295" s="6" customFormat="1">
      <c r="A20" t="str">
        <f>HYPERLINK(".\links\pep\TI-573-pep.txt","TI-573")</f>
        <v>TI-573</v>
      </c>
      <c r="B20">
        <v>573</v>
      </c>
      <c r="C20" t="s">
        <v>28</v>
      </c>
      <c r="D20">
        <v>138</v>
      </c>
      <c r="E20" s="2">
        <v>0.72463770000000005</v>
      </c>
      <c r="F20" t="str">
        <f>HYPERLINK(".\links\cds\TI-573-cds.txt","TI-573")</f>
        <v>TI-573</v>
      </c>
      <c r="G20">
        <v>417</v>
      </c>
      <c r="H20"/>
      <c r="I20" t="s">
        <v>8</v>
      </c>
      <c r="J20" t="s">
        <v>6</v>
      </c>
      <c r="K20">
        <v>1</v>
      </c>
      <c r="L20">
        <v>8</v>
      </c>
      <c r="M20">
        <f t="shared" si="10"/>
        <v>-7</v>
      </c>
      <c r="N20">
        <f t="shared" si="11"/>
        <v>7</v>
      </c>
      <c r="O20" t="s">
        <v>1355</v>
      </c>
      <c r="P20" t="s">
        <v>1178</v>
      </c>
      <c r="Q20" t="str">
        <f>HYPERLINK(".\links\NR-LIGHT\TI-573-NR-LIGHT.txt","NR-LIGHT")</f>
        <v>NR-LIGHT</v>
      </c>
      <c r="R20" s="3">
        <v>4E-55</v>
      </c>
      <c r="S20">
        <v>27.2</v>
      </c>
      <c r="T20" t="str">
        <f>HYPERLINK(".\links\NR-LIGHT\TI-573-NR-LIGHT.txt","similar to thioredoxin reductase isoform 2")</f>
        <v>similar to thioredoxin reductase isoform 2</v>
      </c>
      <c r="U20" t="str">
        <f>HYPERLINK("http://www.ncbi.nlm.nih.gov/sutils/blink.cgi?pid=91079422","4E-055")</f>
        <v>4E-055</v>
      </c>
      <c r="V20" t="str">
        <f>HYPERLINK("http://www.ncbi.nlm.nih.gov/protein/91079422","gi|91079422")</f>
        <v>gi|91079422</v>
      </c>
      <c r="W20">
        <v>214</v>
      </c>
      <c r="X20">
        <v>133</v>
      </c>
      <c r="Y20">
        <v>492</v>
      </c>
      <c r="Z20">
        <v>71</v>
      </c>
      <c r="AA20">
        <v>27</v>
      </c>
      <c r="AB20">
        <v>38</v>
      </c>
      <c r="AC20">
        <v>0</v>
      </c>
      <c r="AD20">
        <v>359</v>
      </c>
      <c r="AE20">
        <v>5</v>
      </c>
      <c r="AF20">
        <v>1</v>
      </c>
      <c r="AG20"/>
      <c r="AH20" t="s">
        <v>13</v>
      </c>
      <c r="AI20" t="s">
        <v>51</v>
      </c>
      <c r="AJ20" t="s">
        <v>266</v>
      </c>
      <c r="AK20" t="str">
        <f>HYPERLINK(".\links\SWISSP\TI-573-SWISSP.txt","Thioredoxin reductase 2, mitochondrial OS=Bos taurus GN=TXNRD2 PE=1 SV=2")</f>
        <v>Thioredoxin reductase 2, mitochondrial OS=Bos taurus GN=TXNRD2 PE=1 SV=2</v>
      </c>
      <c r="AL20" t="str">
        <f>HYPERLINK("http://www.uniprot.org/uniprot/Q9N2I8","2E-051")</f>
        <v>2E-051</v>
      </c>
      <c r="AM20" t="s">
        <v>63</v>
      </c>
      <c r="AN20">
        <v>200</v>
      </c>
      <c r="AO20">
        <v>131</v>
      </c>
      <c r="AP20">
        <v>511</v>
      </c>
      <c r="AQ20">
        <v>65</v>
      </c>
      <c r="AR20">
        <v>26</v>
      </c>
      <c r="AS20">
        <v>45</v>
      </c>
      <c r="AT20">
        <v>0</v>
      </c>
      <c r="AU20">
        <v>378</v>
      </c>
      <c r="AV20">
        <v>5</v>
      </c>
      <c r="AW20">
        <v>1</v>
      </c>
      <c r="AX20" t="s">
        <v>64</v>
      </c>
      <c r="AY20" t="str">
        <f>HYPERLINK(".\links\PREV-RHOD-PEP\TI-573-PREV-RHOD-PEP.txt","Contig17896_35")</f>
        <v>Contig17896_35</v>
      </c>
      <c r="AZ20" s="3">
        <v>2E-73</v>
      </c>
      <c r="BA20" t="s">
        <v>991</v>
      </c>
      <c r="BB20">
        <v>270</v>
      </c>
      <c r="BC20">
        <v>133</v>
      </c>
      <c r="BD20">
        <v>526</v>
      </c>
      <c r="BE20">
        <v>93</v>
      </c>
      <c r="BF20">
        <v>25</v>
      </c>
      <c r="BG20">
        <v>9</v>
      </c>
      <c r="BH20">
        <v>0</v>
      </c>
      <c r="BI20">
        <v>393</v>
      </c>
      <c r="BJ20">
        <v>5</v>
      </c>
      <c r="BK20">
        <v>1</v>
      </c>
      <c r="BL20" t="s">
        <v>366</v>
      </c>
      <c r="BM20">
        <f>HYPERLINK(".\links\GO\TI-573-GO.txt",8E-51)</f>
        <v>8.0000000000000001E-51</v>
      </c>
      <c r="BN20" t="s">
        <v>367</v>
      </c>
      <c r="BO20" t="s">
        <v>345</v>
      </c>
      <c r="BP20" t="s">
        <v>368</v>
      </c>
      <c r="BQ20" t="s">
        <v>369</v>
      </c>
      <c r="BR20" s="3">
        <v>8.0000000000000001E-51</v>
      </c>
      <c r="BS20" t="s">
        <v>356</v>
      </c>
      <c r="BT20" t="s">
        <v>323</v>
      </c>
      <c r="BU20" t="s">
        <v>334</v>
      </c>
      <c r="BV20" t="s">
        <v>357</v>
      </c>
      <c r="BW20" s="3">
        <v>8.0000000000000001E-51</v>
      </c>
      <c r="BX20" t="s">
        <v>370</v>
      </c>
      <c r="BY20" t="s">
        <v>345</v>
      </c>
      <c r="BZ20" t="s">
        <v>368</v>
      </c>
      <c r="CA20" t="s">
        <v>371</v>
      </c>
      <c r="CB20" s="3">
        <v>8.0000000000000001E-51</v>
      </c>
      <c r="CC20" t="s">
        <v>8</v>
      </c>
      <c r="CD20"/>
      <c r="CE20"/>
      <c r="CF20" t="s">
        <v>8</v>
      </c>
      <c r="CG20"/>
      <c r="CH20"/>
      <c r="CI20" t="s">
        <v>8</v>
      </c>
      <c r="CJ20"/>
      <c r="CK20" t="s">
        <v>8</v>
      </c>
      <c r="CL20"/>
      <c r="CM20" t="s">
        <v>8</v>
      </c>
      <c r="CN20"/>
      <c r="CO20" t="s">
        <v>8</v>
      </c>
      <c r="CP20"/>
      <c r="CQ20"/>
      <c r="CR20"/>
      <c r="CS20"/>
      <c r="CT20"/>
      <c r="CU20"/>
      <c r="CV20"/>
      <c r="CW20"/>
      <c r="CX20"/>
      <c r="CY20"/>
      <c r="CZ20"/>
      <c r="DA20"/>
      <c r="DB20"/>
      <c r="DC20" t="s"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:16295" s="6" customFormat="1">
      <c r="A21" s="6" t="str">
        <f>HYPERLINK(".\links\pep\TI-580-pep.txt","TI-580")</f>
        <v>TI-580</v>
      </c>
      <c r="B21" s="6">
        <v>580</v>
      </c>
      <c r="C21" s="6" t="s">
        <v>10</v>
      </c>
      <c r="D21" s="6">
        <v>25</v>
      </c>
      <c r="E21" s="6">
        <v>0</v>
      </c>
      <c r="F21" s="6" t="str">
        <f>HYPERLINK(".\links\cds\TI-580-cds.txt","TI-580")</f>
        <v>TI-580</v>
      </c>
      <c r="G21" s="6">
        <v>78</v>
      </c>
      <c r="I21" s="6" t="s">
        <v>8</v>
      </c>
      <c r="J21" s="6" t="s">
        <v>6</v>
      </c>
      <c r="K21" s="6">
        <v>0</v>
      </c>
      <c r="L21" s="6">
        <v>5</v>
      </c>
      <c r="M21" s="6">
        <f t="shared" si="10"/>
        <v>-5</v>
      </c>
      <c r="N21" s="6">
        <f t="shared" si="11"/>
        <v>5</v>
      </c>
      <c r="O21" s="6" t="s">
        <v>1170</v>
      </c>
      <c r="P21" s="6" t="s">
        <v>1171</v>
      </c>
      <c r="T21" s="6" t="s">
        <v>8</v>
      </c>
      <c r="AK21" s="6" t="s">
        <v>8</v>
      </c>
      <c r="AY21" s="6" t="s">
        <v>8</v>
      </c>
      <c r="BL21" s="6" t="s">
        <v>8</v>
      </c>
      <c r="CC21" s="6" t="s">
        <v>8</v>
      </c>
      <c r="CF21" s="6" t="s">
        <v>8</v>
      </c>
      <c r="CI21" s="6" t="s">
        <v>8</v>
      </c>
      <c r="CK21" s="6" t="s">
        <v>8</v>
      </c>
      <c r="CM21" s="6" t="s">
        <v>8</v>
      </c>
      <c r="CO21" s="6" t="s">
        <v>8</v>
      </c>
      <c r="DC21" s="6" t="s">
        <v>8</v>
      </c>
    </row>
    <row r="22" spans="1:16295" s="6" customFormat="1">
      <c r="A22" t="str">
        <f>HYPERLINK(".\links\pep\TI-589-pep.txt","TI-589")</f>
        <v>TI-589</v>
      </c>
      <c r="B22">
        <v>589</v>
      </c>
      <c r="C22" t="s">
        <v>7</v>
      </c>
      <c r="D22">
        <v>120</v>
      </c>
      <c r="E22">
        <v>0</v>
      </c>
      <c r="F22" t="str">
        <f>HYPERLINK(".\links\cds\TI-589-cds.txt","TI-589")</f>
        <v>TI-589</v>
      </c>
      <c r="G22">
        <v>363</v>
      </c>
      <c r="H22"/>
      <c r="I22" t="s">
        <v>29</v>
      </c>
      <c r="J22" t="s">
        <v>6</v>
      </c>
      <c r="K22">
        <v>0</v>
      </c>
      <c r="L22">
        <v>7</v>
      </c>
      <c r="M22">
        <f t="shared" si="10"/>
        <v>-7</v>
      </c>
      <c r="N22">
        <f t="shared" si="11"/>
        <v>7</v>
      </c>
      <c r="O22" t="s">
        <v>1361</v>
      </c>
      <c r="P22" t="s">
        <v>1178</v>
      </c>
      <c r="Q22" t="str">
        <f>HYPERLINK(".\links\NR-LIGHT\TI-589-NR-LIGHT.txt","NR-LIGHT")</f>
        <v>NR-LIGHT</v>
      </c>
      <c r="R22" s="3">
        <v>4.9999999999999996E-25</v>
      </c>
      <c r="S22">
        <v>94.3</v>
      </c>
      <c r="T22" t="str">
        <f>HYPERLINK(".\links\NR-LIGHT\TI-589-NR-LIGHT.txt","similar to conserved hypothetical protein")</f>
        <v>similar to conserved hypothetical protein</v>
      </c>
      <c r="U22" t="str">
        <f>HYPERLINK("http://www.ncbi.nlm.nih.gov/sutils/blink.cgi?pid=156538160","5E-025")</f>
        <v>5E-025</v>
      </c>
      <c r="V22" t="str">
        <f>HYPERLINK("http://www.ncbi.nlm.nih.gov/protein/156538160","gi|156538160")</f>
        <v>gi|156538160</v>
      </c>
      <c r="W22">
        <v>115</v>
      </c>
      <c r="X22">
        <v>150</v>
      </c>
      <c r="Y22">
        <v>160</v>
      </c>
      <c r="Z22">
        <v>45</v>
      </c>
      <c r="AA22">
        <v>94</v>
      </c>
      <c r="AB22">
        <v>82</v>
      </c>
      <c r="AC22">
        <v>43</v>
      </c>
      <c r="AD22">
        <v>1</v>
      </c>
      <c r="AE22">
        <v>3</v>
      </c>
      <c r="AF22">
        <v>1</v>
      </c>
      <c r="AG22"/>
      <c r="AH22" t="s">
        <v>13</v>
      </c>
      <c r="AI22" t="s">
        <v>51</v>
      </c>
      <c r="AJ22" t="s">
        <v>274</v>
      </c>
      <c r="AK22" t="str">
        <f>HYPERLINK(".\links\SWISSP\TI-589-SWISSP.txt","Chromatin complexes subunit BAP18 OS=Homo sapiens GN=BAP18 PE=1 SV=1")</f>
        <v>Chromatin complexes subunit BAP18 OS=Homo sapiens GN=BAP18 PE=1 SV=1</v>
      </c>
      <c r="AL22" t="str">
        <f>HYPERLINK("http://www.uniprot.org/uniprot/Q8IXM2","2E-010")</f>
        <v>2E-010</v>
      </c>
      <c r="AM22" t="s">
        <v>261</v>
      </c>
      <c r="AN22">
        <v>64.3</v>
      </c>
      <c r="AO22">
        <v>90</v>
      </c>
      <c r="AP22">
        <v>172</v>
      </c>
      <c r="AQ22">
        <v>42</v>
      </c>
      <c r="AR22">
        <v>53</v>
      </c>
      <c r="AS22">
        <v>52</v>
      </c>
      <c r="AT22">
        <v>36</v>
      </c>
      <c r="AU22">
        <v>1</v>
      </c>
      <c r="AV22">
        <v>3</v>
      </c>
      <c r="AW22">
        <v>1</v>
      </c>
      <c r="AX22" t="s">
        <v>68</v>
      </c>
      <c r="AY22" t="str">
        <f>HYPERLINK(".\links\PREV-RHOD-PEP\TI-589-PREV-RHOD-PEP.txt","Contig17238_5")</f>
        <v>Contig17238_5</v>
      </c>
      <c r="AZ22" s="3">
        <v>9.9999999999999994E-50</v>
      </c>
      <c r="BA22" t="s">
        <v>992</v>
      </c>
      <c r="BB22">
        <v>191</v>
      </c>
      <c r="BC22">
        <v>151</v>
      </c>
      <c r="BD22">
        <v>152</v>
      </c>
      <c r="BE22">
        <v>66</v>
      </c>
      <c r="BF22">
        <v>100</v>
      </c>
      <c r="BG22">
        <v>51</v>
      </c>
      <c r="BH22">
        <v>34</v>
      </c>
      <c r="BI22">
        <v>1</v>
      </c>
      <c r="BJ22">
        <v>3</v>
      </c>
      <c r="BK22">
        <v>1</v>
      </c>
      <c r="BL22" t="s">
        <v>379</v>
      </c>
      <c r="BM22">
        <f>HYPERLINK(".\links\GO\TI-589-GO.txt",0.00000000000003)</f>
        <v>2.9999999999999998E-14</v>
      </c>
      <c r="BN22" t="s">
        <v>373</v>
      </c>
      <c r="BO22" t="s">
        <v>373</v>
      </c>
      <c r="BP22"/>
      <c r="BQ22" t="s">
        <v>374</v>
      </c>
      <c r="BR22">
        <v>2.9999999999999998E-14</v>
      </c>
      <c r="BS22" t="s">
        <v>375</v>
      </c>
      <c r="BT22" t="s">
        <v>375</v>
      </c>
      <c r="BU22"/>
      <c r="BV22" t="s">
        <v>376</v>
      </c>
      <c r="BW22">
        <v>2.9999999999999998E-14</v>
      </c>
      <c r="BX22" t="s">
        <v>380</v>
      </c>
      <c r="BY22" t="s">
        <v>373</v>
      </c>
      <c r="BZ22"/>
      <c r="CA22" t="s">
        <v>381</v>
      </c>
      <c r="CB22">
        <v>2.9999999999999998E-14</v>
      </c>
      <c r="CC22" t="s">
        <v>8</v>
      </c>
      <c r="CD22"/>
      <c r="CE22"/>
      <c r="CF22" t="s">
        <v>8</v>
      </c>
      <c r="CG22"/>
      <c r="CH22"/>
      <c r="CI22" t="s">
        <v>8</v>
      </c>
      <c r="CJ22"/>
      <c r="CK22" t="s">
        <v>8</v>
      </c>
      <c r="CL22"/>
      <c r="CM22" t="s">
        <v>8</v>
      </c>
      <c r="CN22"/>
      <c r="CO22" t="s">
        <v>8</v>
      </c>
      <c r="CP22"/>
      <c r="CQ22"/>
      <c r="CR22"/>
      <c r="CS22"/>
      <c r="CT22"/>
      <c r="CU22"/>
      <c r="CV22"/>
      <c r="CW22"/>
      <c r="CX22"/>
      <c r="CY22"/>
      <c r="CZ22"/>
      <c r="DA22"/>
      <c r="DB22"/>
      <c r="DC22" t="s"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:16295" s="6" customFormat="1">
      <c r="A23" s="6" t="str">
        <f>HYPERLINK(".\links\pep\TI-89-pep.txt","TI-89")</f>
        <v>TI-89</v>
      </c>
      <c r="B23" s="6">
        <v>89</v>
      </c>
      <c r="C23" s="6" t="s">
        <v>13</v>
      </c>
      <c r="D23" s="6">
        <v>11</v>
      </c>
      <c r="E23" s="6">
        <v>0</v>
      </c>
      <c r="F23" s="6" t="str">
        <f>HYPERLINK(".\links\cds\TI-89-cds.txt","TI-89")</f>
        <v>TI-89</v>
      </c>
      <c r="G23" s="6">
        <v>36</v>
      </c>
      <c r="I23" s="6" t="s">
        <v>8</v>
      </c>
      <c r="J23" s="6" t="s">
        <v>6</v>
      </c>
      <c r="K23" s="6">
        <v>1</v>
      </c>
      <c r="L23" s="6">
        <v>3</v>
      </c>
      <c r="M23">
        <f t="shared" si="10"/>
        <v>-2</v>
      </c>
      <c r="N23">
        <f t="shared" si="11"/>
        <v>2</v>
      </c>
      <c r="O23" s="6" t="s">
        <v>1170</v>
      </c>
      <c r="P23" s="6" t="s">
        <v>1171</v>
      </c>
      <c r="S23" s="6" t="s">
        <v>8</v>
      </c>
      <c r="AJ23" s="6" t="s">
        <v>8</v>
      </c>
      <c r="AX23" s="6" t="s">
        <v>8</v>
      </c>
      <c r="BK23" s="6" t="s">
        <v>8</v>
      </c>
      <c r="CB23" s="6" t="s">
        <v>8</v>
      </c>
      <c r="CE23" s="6" t="s">
        <v>8</v>
      </c>
      <c r="CH23" s="6" t="s">
        <v>8</v>
      </c>
      <c r="CJ23" s="6" t="s">
        <v>8</v>
      </c>
      <c r="CL23" s="6" t="s">
        <v>8</v>
      </c>
      <c r="CN23" s="6" t="s">
        <v>8</v>
      </c>
      <c r="DB23" s="6" t="s">
        <v>8</v>
      </c>
    </row>
    <row r="24" spans="1:16295" s="6" customFormat="1">
      <c r="A24" s="6" t="str">
        <f>HYPERLINK(".\links\pep\TI-535-pep.txt","TI-535")</f>
        <v>TI-535</v>
      </c>
      <c r="B24" s="6">
        <v>535</v>
      </c>
      <c r="C24" s="6" t="s">
        <v>27</v>
      </c>
      <c r="D24" s="6">
        <v>41</v>
      </c>
      <c r="E24" s="6">
        <v>0</v>
      </c>
      <c r="F24" s="6" t="str">
        <f>HYPERLINK(".\links\cds\TI-535-cds.txt","TI-535")</f>
        <v>TI-535</v>
      </c>
      <c r="G24" s="6">
        <v>126</v>
      </c>
      <c r="I24" s="6" t="s">
        <v>8</v>
      </c>
      <c r="J24" s="6" t="s">
        <v>6</v>
      </c>
      <c r="K24" s="6">
        <v>0</v>
      </c>
      <c r="L24" s="6">
        <v>2</v>
      </c>
      <c r="M24">
        <f t="shared" ref="M24" si="12">K24-L24</f>
        <v>-2</v>
      </c>
      <c r="N24">
        <f t="shared" ref="N24" si="13">ABS(K24-L24)</f>
        <v>2</v>
      </c>
      <c r="O24" s="6" t="s">
        <v>1170</v>
      </c>
      <c r="P24" s="6" t="s">
        <v>1171</v>
      </c>
      <c r="S24" s="6" t="s">
        <v>8</v>
      </c>
      <c r="AJ24" s="6" t="s">
        <v>8</v>
      </c>
      <c r="AX24" s="6" t="s">
        <v>8</v>
      </c>
      <c r="BK24" s="6" t="s">
        <v>8</v>
      </c>
      <c r="CB24" s="6" t="s">
        <v>8</v>
      </c>
      <c r="CE24" s="6" t="s">
        <v>8</v>
      </c>
      <c r="CH24" s="6" t="s">
        <v>8</v>
      </c>
      <c r="CJ24" s="6" t="s">
        <v>8</v>
      </c>
      <c r="CL24" s="6" t="s">
        <v>8</v>
      </c>
      <c r="CN24" s="6" t="s">
        <v>8</v>
      </c>
      <c r="DB24" s="6" t="str">
        <f>HYPERLINK(".\links\RRNA\TI-535-RRNA.txt","Mylabris calida mitochondrial partial 16S rRNA gene, isolate Mc1")</f>
        <v>Mylabris calida mitochondrial partial 16S rRNA gene, isolate Mc1</v>
      </c>
      <c r="DC24" s="6" t="str">
        <f>HYPERLINK("http://www.ncbi.nlm.nih.gov/entrez/viewer.fcgi?db=nucleotide&amp;val=56409783","1E-007")</f>
        <v>1E-007</v>
      </c>
      <c r="DD24" s="6" t="str">
        <f>HYPERLINK("http://www.ncbi.nlm.nih.gov/entrez/viewer.fcgi?db=nucleotide&amp;val=56409783","gi|56409783")</f>
        <v>gi|56409783</v>
      </c>
      <c r="DE24" s="6">
        <v>54</v>
      </c>
      <c r="DF24" s="6">
        <v>30</v>
      </c>
      <c r="DG24" s="6">
        <v>548</v>
      </c>
      <c r="DH24" s="6">
        <v>96</v>
      </c>
      <c r="DI24" s="6">
        <v>6</v>
      </c>
      <c r="DJ24" s="6">
        <v>1</v>
      </c>
      <c r="DK24" s="6">
        <v>0</v>
      </c>
      <c r="DL24" s="6">
        <v>1</v>
      </c>
      <c r="DM24" s="6">
        <v>8</v>
      </c>
      <c r="DN24" s="6">
        <v>1</v>
      </c>
      <c r="DO24" s="6" t="s">
        <v>981</v>
      </c>
    </row>
    <row r="25" spans="1:16295" s="6" customFormat="1">
      <c r="A25" s="6" t="str">
        <f>HYPERLINK(".\links\pep\TI-469-pep.txt","TI-469")</f>
        <v>TI-469</v>
      </c>
      <c r="B25" s="6">
        <v>469</v>
      </c>
      <c r="C25" s="6" t="s">
        <v>7</v>
      </c>
      <c r="D25" s="6">
        <v>195</v>
      </c>
      <c r="E25" s="6">
        <v>0</v>
      </c>
      <c r="F25" s="6" t="str">
        <f>HYPERLINK(".\links\cds\TI-469-cds.txt","TI-469")</f>
        <v>TI-469</v>
      </c>
      <c r="G25" s="6">
        <v>584</v>
      </c>
      <c r="I25" s="6" t="s">
        <v>29</v>
      </c>
      <c r="J25" s="6" t="s">
        <v>6</v>
      </c>
      <c r="K25" s="6">
        <v>1</v>
      </c>
      <c r="L25" s="6">
        <v>3</v>
      </c>
      <c r="M25">
        <f t="shared" ref="M25" si="14">K25-L25</f>
        <v>-2</v>
      </c>
      <c r="N25">
        <f t="shared" ref="N25" si="15">ABS(K25-L25)</f>
        <v>2</v>
      </c>
      <c r="O25" s="6" t="s">
        <v>1170</v>
      </c>
      <c r="P25" s="6" t="s">
        <v>1171</v>
      </c>
      <c r="T25" s="6" t="str">
        <f>HYPERLINK(".\links\NR-LIGHT\TI-469-NR-LIGHT.txt","AGAP009281-PA")</f>
        <v>AGAP009281-PA</v>
      </c>
      <c r="U25" s="6" t="str">
        <f>HYPERLINK("http://www.ncbi.nlm.nih.gov/sutils/blink.cgi?pid=158300081","1E-010")</f>
        <v>1E-010</v>
      </c>
      <c r="V25" s="6" t="str">
        <f>HYPERLINK("http://www.ncbi.nlm.nih.gov/protein/158300081","gi|158300081")</f>
        <v>gi|158300081</v>
      </c>
      <c r="W25" s="6">
        <v>68.2</v>
      </c>
      <c r="X25" s="6">
        <v>139</v>
      </c>
      <c r="Y25" s="6">
        <v>193</v>
      </c>
      <c r="Z25" s="6">
        <v>29</v>
      </c>
      <c r="AA25" s="6">
        <v>73</v>
      </c>
      <c r="AB25" s="6">
        <v>108</v>
      </c>
      <c r="AC25" s="6">
        <v>14</v>
      </c>
      <c r="AD25" s="6">
        <v>33</v>
      </c>
      <c r="AE25" s="6">
        <v>39</v>
      </c>
      <c r="AF25" s="6">
        <v>1</v>
      </c>
      <c r="AH25" s="6" t="s">
        <v>13</v>
      </c>
      <c r="AI25" s="6" t="s">
        <v>51</v>
      </c>
      <c r="AJ25" s="6" t="s">
        <v>275</v>
      </c>
      <c r="AK25" s="6" t="str">
        <f>HYPERLINK(".\links\SWISSP\TI-469-SWISSP.txt","Apolipoprotein D OS=Macaca fascicularis GN=APOD PE=2 SV=1")</f>
        <v>Apolipoprotein D OS=Macaca fascicularis GN=APOD PE=2 SV=1</v>
      </c>
      <c r="AL25" s="6" t="str">
        <f>HYPERLINK("http://www.uniprot.org/uniprot/Q8SPI0","8E-010")</f>
        <v>8E-010</v>
      </c>
      <c r="AM25" s="6" t="s">
        <v>219</v>
      </c>
      <c r="AN25" s="6">
        <v>63.5</v>
      </c>
      <c r="AO25" s="6">
        <v>139</v>
      </c>
      <c r="AP25" s="6">
        <v>189</v>
      </c>
      <c r="AQ25" s="6">
        <v>28</v>
      </c>
      <c r="AR25" s="6">
        <v>74</v>
      </c>
      <c r="AS25" s="6">
        <v>113</v>
      </c>
      <c r="AT25" s="6">
        <v>28</v>
      </c>
      <c r="AU25" s="6">
        <v>15</v>
      </c>
      <c r="AV25" s="6">
        <v>28</v>
      </c>
      <c r="AW25" s="6">
        <v>1</v>
      </c>
      <c r="AX25" s="6" t="s">
        <v>220</v>
      </c>
      <c r="AY25" s="6" t="str">
        <f>HYPERLINK(".\links\PREV-RHOD-PEP\TI-469-PREV-RHOD-PEP.txt","Contig17106_8")</f>
        <v>Contig17106_8</v>
      </c>
      <c r="AZ25" s="8">
        <v>3.0000000000000001E-62</v>
      </c>
      <c r="BA25" s="6" t="s">
        <v>1148</v>
      </c>
      <c r="BB25" s="6">
        <v>233</v>
      </c>
      <c r="BC25" s="6">
        <v>195</v>
      </c>
      <c r="BD25" s="6">
        <v>212</v>
      </c>
      <c r="BE25" s="6">
        <v>58</v>
      </c>
      <c r="BF25" s="6">
        <v>92</v>
      </c>
      <c r="BG25" s="6">
        <v>81</v>
      </c>
      <c r="BH25" s="6">
        <v>1</v>
      </c>
      <c r="BI25" s="6">
        <v>1</v>
      </c>
      <c r="BJ25" s="6">
        <v>1</v>
      </c>
      <c r="BK25" s="6">
        <v>1</v>
      </c>
      <c r="BL25" s="6" t="s">
        <v>928</v>
      </c>
      <c r="BM25" s="6">
        <f>HYPERLINK(".\links\GO\TI-469-GO.txt",0.00000006)</f>
        <v>5.9999999999999995E-8</v>
      </c>
      <c r="BN25" s="6" t="s">
        <v>373</v>
      </c>
      <c r="BO25" s="6" t="s">
        <v>373</v>
      </c>
      <c r="BQ25" s="6" t="s">
        <v>374</v>
      </c>
      <c r="BR25" s="6">
        <v>6.0000000000000002E-6</v>
      </c>
      <c r="BS25" s="6" t="s">
        <v>929</v>
      </c>
      <c r="BT25" s="6" t="s">
        <v>323</v>
      </c>
      <c r="BU25" s="6" t="s">
        <v>930</v>
      </c>
      <c r="BV25" s="6" t="s">
        <v>931</v>
      </c>
      <c r="BW25" s="6">
        <v>6.0000000000000002E-6</v>
      </c>
      <c r="BX25" s="6" t="s">
        <v>932</v>
      </c>
      <c r="BY25" s="6" t="s">
        <v>373</v>
      </c>
      <c r="CA25" s="6" t="s">
        <v>933</v>
      </c>
      <c r="CB25" s="6">
        <v>6.0000000000000002E-6</v>
      </c>
      <c r="CE25" s="6" t="s">
        <v>8</v>
      </c>
      <c r="CH25" s="6" t="s">
        <v>8</v>
      </c>
      <c r="CJ25" s="6" t="s">
        <v>8</v>
      </c>
      <c r="CL25" s="6" t="s">
        <v>8</v>
      </c>
      <c r="CN25" s="6" t="s">
        <v>8</v>
      </c>
      <c r="DB25" s="6" t="s">
        <v>8</v>
      </c>
    </row>
    <row r="26" spans="1:16295" s="6" customFormat="1">
      <c r="A26" t="str">
        <f>HYPERLINK(".\links\pep\TI-468-pep.txt","TI-468")</f>
        <v>TI-468</v>
      </c>
      <c r="B26">
        <v>468</v>
      </c>
      <c r="C26" t="s">
        <v>7</v>
      </c>
      <c r="D26">
        <v>100</v>
      </c>
      <c r="E26">
        <v>0</v>
      </c>
      <c r="F26" t="str">
        <f>HYPERLINK(".\links\cds\TI-468-cds.txt","TI-468")</f>
        <v>TI-468</v>
      </c>
      <c r="G26">
        <v>303</v>
      </c>
      <c r="H26"/>
      <c r="I26" t="s">
        <v>29</v>
      </c>
      <c r="J26" t="s">
        <v>6</v>
      </c>
      <c r="K26">
        <v>0</v>
      </c>
      <c r="L26">
        <v>2</v>
      </c>
      <c r="M26">
        <f t="shared" ref="M26" si="16">K26-L26</f>
        <v>-2</v>
      </c>
      <c r="N26">
        <f t="shared" ref="N26" si="17">ABS(K26-L26)</f>
        <v>2</v>
      </c>
      <c r="O26" t="s">
        <v>1205</v>
      </c>
      <c r="P26" t="s">
        <v>1178</v>
      </c>
      <c r="Q26" t="str">
        <f>HYPERLINK(".\links\NR-LIGHT\TI-468-NR-LIGHT.txt","NR-LIGHT")</f>
        <v>NR-LIGHT</v>
      </c>
      <c r="R26" s="3">
        <v>3.9999999999999997E-24</v>
      </c>
      <c r="S26">
        <v>82</v>
      </c>
      <c r="T26" t="str">
        <f>HYPERLINK(".\links\NR-LIGHT\TI-468-NR-LIGHT.txt","hypothetical protein")</f>
        <v>hypothetical protein</v>
      </c>
      <c r="U26" t="str">
        <f>HYPERLINK("http://www.ncbi.nlm.nih.gov/sutils/blink.cgi?pid=149898849","4E-024")</f>
        <v>4E-024</v>
      </c>
      <c r="V26" t="str">
        <f>HYPERLINK("http://www.ncbi.nlm.nih.gov/protein/149898849","gi|149898849")</f>
        <v>gi|149898849</v>
      </c>
      <c r="W26">
        <v>112</v>
      </c>
      <c r="X26">
        <v>81</v>
      </c>
      <c r="Y26">
        <v>100</v>
      </c>
      <c r="Z26">
        <v>68</v>
      </c>
      <c r="AA26">
        <v>82</v>
      </c>
      <c r="AB26">
        <v>26</v>
      </c>
      <c r="AC26">
        <v>0</v>
      </c>
      <c r="AD26">
        <v>1</v>
      </c>
      <c r="AE26">
        <v>1</v>
      </c>
      <c r="AF26">
        <v>1</v>
      </c>
      <c r="AG26"/>
      <c r="AH26" t="s">
        <v>13</v>
      </c>
      <c r="AI26" t="s">
        <v>51</v>
      </c>
      <c r="AJ26" t="s">
        <v>273</v>
      </c>
      <c r="AK26" t="s">
        <v>8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 t="str">
        <f>HYPERLINK(".\links\PREV-RHOD-PEP\TI-468-PREV-RHOD-PEP.txt","Contig16785_1")</f>
        <v>Contig16785_1</v>
      </c>
      <c r="AZ26" s="3">
        <v>1.0000000000000001E-5</v>
      </c>
      <c r="BA26" t="s">
        <v>1147</v>
      </c>
      <c r="BB26">
        <v>44.7</v>
      </c>
      <c r="BC26">
        <v>18</v>
      </c>
      <c r="BD26">
        <v>41</v>
      </c>
      <c r="BE26">
        <v>100</v>
      </c>
      <c r="BF26">
        <v>46</v>
      </c>
      <c r="BG26">
        <v>0</v>
      </c>
      <c r="BH26">
        <v>0</v>
      </c>
      <c r="BI26">
        <v>1</v>
      </c>
      <c r="BJ26">
        <v>1</v>
      </c>
      <c r="BK26">
        <v>1</v>
      </c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 t="s">
        <v>8</v>
      </c>
      <c r="CC26"/>
      <c r="CD26"/>
      <c r="CE26" t="s">
        <v>8</v>
      </c>
      <c r="CF26"/>
      <c r="CG26"/>
      <c r="CH26" t="s">
        <v>8</v>
      </c>
      <c r="CI26"/>
      <c r="CJ26" t="s">
        <v>8</v>
      </c>
      <c r="CK26"/>
      <c r="CL26" t="s">
        <v>8</v>
      </c>
      <c r="CM26"/>
      <c r="CN26" t="s">
        <v>8</v>
      </c>
      <c r="CO26"/>
      <c r="CP26"/>
      <c r="CQ26"/>
      <c r="CR26"/>
      <c r="CS26"/>
      <c r="CT26"/>
      <c r="CU26"/>
      <c r="CV26"/>
      <c r="CW26"/>
      <c r="CX26"/>
      <c r="CY26"/>
      <c r="CZ26"/>
      <c r="DA26"/>
      <c r="DB26" t="s">
        <v>8</v>
      </c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6295">
      <c r="A27" t="str">
        <f>HYPERLINK(".\links\pep\TI-450-pep.txt","TI-450")</f>
        <v>TI-450</v>
      </c>
      <c r="B27">
        <v>450</v>
      </c>
      <c r="C27" t="s">
        <v>7</v>
      </c>
      <c r="D27">
        <v>169</v>
      </c>
      <c r="E27">
        <v>0</v>
      </c>
      <c r="F27" t="str">
        <f>HYPERLINK(".\links\cds\TI-450-cds.txt","TI-450")</f>
        <v>TI-450</v>
      </c>
      <c r="G27">
        <v>510</v>
      </c>
      <c r="I27" t="s">
        <v>29</v>
      </c>
      <c r="J27" t="s">
        <v>6</v>
      </c>
      <c r="K27">
        <v>0</v>
      </c>
      <c r="L27">
        <v>2</v>
      </c>
      <c r="M27">
        <f t="shared" ref="M27" si="18">K27-L27</f>
        <v>-2</v>
      </c>
      <c r="N27">
        <f t="shared" ref="N27" si="19">ABS(K27-L27)</f>
        <v>2</v>
      </c>
      <c r="O27" t="s">
        <v>1233</v>
      </c>
      <c r="P27" t="s">
        <v>1169</v>
      </c>
      <c r="Q27" t="str">
        <f>HYPERLINK(".\links\NR-LIGHT\TI-450-NR-LIGHT.txt","NR-LIGHT")</f>
        <v>NR-LIGHT</v>
      </c>
      <c r="R27" s="3">
        <v>1.9999999999999999E-47</v>
      </c>
      <c r="S27">
        <v>79.7</v>
      </c>
      <c r="T27" t="str">
        <f>HYPERLINK(".\links\NR-LIGHT\TI-450-NR-LIGHT.txt","similar to ribosomal protein L35Ae")</f>
        <v>similar to ribosomal protein L35Ae</v>
      </c>
      <c r="U27" t="str">
        <f>HYPERLINK("http://www.ncbi.nlm.nih.gov/sutils/blink.cgi?pid=91094995","2E-047")</f>
        <v>2E-047</v>
      </c>
      <c r="V27" t="str">
        <f>HYPERLINK("http://www.ncbi.nlm.nih.gov/protein/91094995","gi|91094995")</f>
        <v>gi|91094995</v>
      </c>
      <c r="W27">
        <v>190</v>
      </c>
      <c r="X27">
        <v>113</v>
      </c>
      <c r="Y27">
        <v>143</v>
      </c>
      <c r="Z27">
        <v>81</v>
      </c>
      <c r="AA27">
        <v>80</v>
      </c>
      <c r="AB27">
        <v>21</v>
      </c>
      <c r="AC27">
        <v>1</v>
      </c>
      <c r="AD27">
        <v>30</v>
      </c>
      <c r="AE27">
        <v>57</v>
      </c>
      <c r="AF27">
        <v>1</v>
      </c>
      <c r="AH27" t="s">
        <v>13</v>
      </c>
      <c r="AI27" t="s">
        <v>51</v>
      </c>
      <c r="AJ27" t="s">
        <v>266</v>
      </c>
      <c r="AK27" t="str">
        <f>HYPERLINK(".\links\SWISSP\TI-450-SWISSP.txt","60S ribosomal protein L35a OS=Pongo abelii GN=RPL35A PE=3 SV=1")</f>
        <v>60S ribosomal protein L35a OS=Pongo abelii GN=RPL35A PE=3 SV=1</v>
      </c>
      <c r="AL27" t="str">
        <f>HYPERLINK("http://www.uniprot.org/uniprot/Q5R8K6","5E-036")</f>
        <v>5E-036</v>
      </c>
      <c r="AM27" t="s">
        <v>234</v>
      </c>
      <c r="AN27">
        <v>150</v>
      </c>
      <c r="AO27">
        <v>107</v>
      </c>
      <c r="AP27">
        <v>110</v>
      </c>
      <c r="AQ27">
        <v>65</v>
      </c>
      <c r="AR27">
        <v>98</v>
      </c>
      <c r="AS27">
        <v>38</v>
      </c>
      <c r="AT27">
        <v>2</v>
      </c>
      <c r="AU27">
        <v>3</v>
      </c>
      <c r="AV27">
        <v>60</v>
      </c>
      <c r="AW27">
        <v>1</v>
      </c>
      <c r="AX27" t="s">
        <v>121</v>
      </c>
      <c r="AY27" t="str">
        <f>HYPERLINK(".\links\PREV-RHOD-PEP\TI-450-PREV-RHOD-PEP.txt","Contig18035_25")</f>
        <v>Contig18035_25</v>
      </c>
      <c r="AZ27" s="3">
        <v>4.9999999999999996E-66</v>
      </c>
      <c r="BA27" t="s">
        <v>1143</v>
      </c>
      <c r="BB27">
        <v>245</v>
      </c>
      <c r="BC27">
        <v>117</v>
      </c>
      <c r="BD27">
        <v>169</v>
      </c>
      <c r="BE27">
        <v>98</v>
      </c>
      <c r="BF27">
        <v>70</v>
      </c>
      <c r="BG27">
        <v>2</v>
      </c>
      <c r="BH27">
        <v>0</v>
      </c>
      <c r="BI27">
        <v>52</v>
      </c>
      <c r="BJ27">
        <v>52</v>
      </c>
      <c r="BK27">
        <v>1</v>
      </c>
      <c r="BL27" t="s">
        <v>904</v>
      </c>
      <c r="BM27">
        <f>HYPERLINK(".\links\GO\TI-450-GO.txt",2E-40)</f>
        <v>1.9999999999999999E-40</v>
      </c>
      <c r="BN27" t="s">
        <v>329</v>
      </c>
      <c r="BO27" t="s">
        <v>330</v>
      </c>
      <c r="BP27" t="s">
        <v>331</v>
      </c>
      <c r="BQ27" t="s">
        <v>332</v>
      </c>
      <c r="BR27" s="3">
        <v>1.9999999999999999E-40</v>
      </c>
      <c r="BS27" t="s">
        <v>333</v>
      </c>
      <c r="BT27" t="s">
        <v>323</v>
      </c>
      <c r="BU27" t="s">
        <v>334</v>
      </c>
      <c r="BV27" t="s">
        <v>335</v>
      </c>
      <c r="BW27" s="3">
        <v>1.9999999999999999E-40</v>
      </c>
      <c r="BX27" t="s">
        <v>336</v>
      </c>
      <c r="BY27" t="s">
        <v>330</v>
      </c>
      <c r="BZ27" t="s">
        <v>331</v>
      </c>
      <c r="CA27" t="s">
        <v>337</v>
      </c>
      <c r="CB27" s="3">
        <v>1.9999999999999999E-40</v>
      </c>
    </row>
    <row r="28" spans="1:16295">
      <c r="A28" t="str">
        <f>HYPERLINK(".\links\pep\TI-447-pep.txt","TI-447")</f>
        <v>TI-447</v>
      </c>
      <c r="B28">
        <v>447</v>
      </c>
      <c r="C28" t="s">
        <v>12</v>
      </c>
      <c r="D28">
        <v>211</v>
      </c>
      <c r="E28">
        <v>0</v>
      </c>
      <c r="F28" t="str">
        <f>HYPERLINK(".\links\cds\TI-447-cds.txt","TI-447")</f>
        <v>TI-447</v>
      </c>
      <c r="G28">
        <v>632</v>
      </c>
      <c r="I28" t="s">
        <v>8</v>
      </c>
      <c r="J28" t="s">
        <v>8</v>
      </c>
      <c r="K28">
        <v>0</v>
      </c>
      <c r="L28">
        <v>2</v>
      </c>
      <c r="M28">
        <f t="shared" ref="M28" si="20">K28-L28</f>
        <v>-2</v>
      </c>
      <c r="N28">
        <f t="shared" ref="N28" si="21">ABS(K28-L28)</f>
        <v>2</v>
      </c>
      <c r="O28" t="s">
        <v>1232</v>
      </c>
      <c r="P28" t="s">
        <v>1178</v>
      </c>
      <c r="Q28" t="str">
        <f>HYPERLINK(".\links\SWISSP\TI-447-SWISSP.txt","SWISSP")</f>
        <v>SWISSP</v>
      </c>
      <c r="R28" s="3">
        <v>2.9999999999999999E-69</v>
      </c>
      <c r="S28">
        <v>69.3</v>
      </c>
      <c r="T28" t="str">
        <f>HYPERLINK(".\links\NR-LIGHT\TI-447-NR-LIGHT.txt","triosephosphate isomerase")</f>
        <v>triosephosphate isomerase</v>
      </c>
      <c r="U28" t="str">
        <f>HYPERLINK("http://www.ncbi.nlm.nih.gov/sutils/blink.cgi?pid=45382061","1E-068")</f>
        <v>1E-068</v>
      </c>
      <c r="V28" t="str">
        <f>HYPERLINK("http://www.ncbi.nlm.nih.gov/protein/45382061","gi|45382061")</f>
        <v>gi|45382061</v>
      </c>
      <c r="W28">
        <v>261</v>
      </c>
      <c r="X28">
        <v>171</v>
      </c>
      <c r="Y28">
        <v>248</v>
      </c>
      <c r="Z28">
        <v>68</v>
      </c>
      <c r="AA28">
        <v>69</v>
      </c>
      <c r="AB28">
        <v>54</v>
      </c>
      <c r="AC28">
        <v>0</v>
      </c>
      <c r="AD28">
        <v>4</v>
      </c>
      <c r="AE28">
        <v>40</v>
      </c>
      <c r="AF28">
        <v>1</v>
      </c>
      <c r="AH28" t="s">
        <v>13</v>
      </c>
      <c r="AI28" t="s">
        <v>51</v>
      </c>
      <c r="AJ28" t="s">
        <v>126</v>
      </c>
      <c r="AK28" t="str">
        <f>HYPERLINK(".\links\SWISSP\TI-447-SWISSP.txt","Triosephosphate isomerase OS=Gallus gallus GN=TPI1 PE=1 SV=2")</f>
        <v>Triosephosphate isomerase OS=Gallus gallus GN=TPI1 PE=1 SV=2</v>
      </c>
      <c r="AL28" t="str">
        <f>HYPERLINK("http://www.uniprot.org/uniprot/P00940","3E-069")</f>
        <v>3E-069</v>
      </c>
      <c r="AM28" t="s">
        <v>232</v>
      </c>
      <c r="AN28">
        <v>261</v>
      </c>
      <c r="AO28">
        <v>171</v>
      </c>
      <c r="AP28">
        <v>248</v>
      </c>
      <c r="AQ28">
        <v>68</v>
      </c>
      <c r="AR28">
        <v>69</v>
      </c>
      <c r="AS28">
        <v>54</v>
      </c>
      <c r="AT28">
        <v>0</v>
      </c>
      <c r="AU28">
        <v>4</v>
      </c>
      <c r="AV28">
        <v>40</v>
      </c>
      <c r="AW28">
        <v>1</v>
      </c>
      <c r="AX28" t="s">
        <v>126</v>
      </c>
      <c r="AY28" t="str">
        <f>HYPERLINK(".\links\PREV-RHOD-PEP\TI-447-PREV-RHOD-PEP.txt","Contig18070_346")</f>
        <v>Contig18070_346</v>
      </c>
      <c r="AZ28" s="3">
        <v>6.0000000000000002E-83</v>
      </c>
      <c r="BA28" t="s">
        <v>1140</v>
      </c>
      <c r="BB28">
        <v>302</v>
      </c>
      <c r="BC28">
        <v>172</v>
      </c>
      <c r="BD28">
        <v>248</v>
      </c>
      <c r="BE28">
        <v>81</v>
      </c>
      <c r="BF28">
        <v>70</v>
      </c>
      <c r="BG28">
        <v>32</v>
      </c>
      <c r="BH28">
        <v>0</v>
      </c>
      <c r="BI28">
        <v>1</v>
      </c>
      <c r="BJ28">
        <v>39</v>
      </c>
      <c r="BK28">
        <v>1</v>
      </c>
      <c r="BL28" t="s">
        <v>894</v>
      </c>
      <c r="BM28">
        <f>HYPERLINK(".\links\GO\TI-447-GO.txt",7E-66)</f>
        <v>7.0000000000000001E-66</v>
      </c>
      <c r="BN28" t="s">
        <v>895</v>
      </c>
      <c r="BO28" t="s">
        <v>345</v>
      </c>
      <c r="BP28" t="s">
        <v>788</v>
      </c>
      <c r="BQ28" t="s">
        <v>896</v>
      </c>
      <c r="BR28" s="3">
        <v>9.9999999999999992E-66</v>
      </c>
      <c r="BS28" t="s">
        <v>389</v>
      </c>
      <c r="BT28" t="s">
        <v>323</v>
      </c>
      <c r="BU28" t="s">
        <v>390</v>
      </c>
      <c r="BV28" t="s">
        <v>391</v>
      </c>
      <c r="BW28" s="3">
        <v>9.9999999999999992E-66</v>
      </c>
      <c r="BX28" t="s">
        <v>897</v>
      </c>
      <c r="BY28" t="s">
        <v>345</v>
      </c>
      <c r="BZ28" t="s">
        <v>788</v>
      </c>
      <c r="CA28" t="s">
        <v>898</v>
      </c>
      <c r="CB28" s="3">
        <v>9.9999999999999992E-66</v>
      </c>
    </row>
    <row r="29" spans="1:16295">
      <c r="A29" s="6" t="str">
        <f>HYPERLINK(".\links\pep\TI-435-pep.txt","TI-435")</f>
        <v>TI-435</v>
      </c>
      <c r="B29" s="6">
        <v>435</v>
      </c>
      <c r="C29" s="6" t="s">
        <v>24</v>
      </c>
      <c r="D29" s="6">
        <v>102</v>
      </c>
      <c r="E29" s="6">
        <v>0</v>
      </c>
      <c r="F29" s="6" t="str">
        <f>HYPERLINK(".\links\cds\TI-435-cds.txt","TI-435")</f>
        <v>TI-435</v>
      </c>
      <c r="G29" s="6">
        <v>303</v>
      </c>
      <c r="H29" s="6"/>
      <c r="I29" s="6" t="s">
        <v>8</v>
      </c>
      <c r="J29" s="6" t="s">
        <v>8</v>
      </c>
      <c r="K29" s="6">
        <v>0</v>
      </c>
      <c r="L29" s="6">
        <v>2</v>
      </c>
      <c r="M29">
        <f t="shared" ref="M29" si="22">K29-L29</f>
        <v>-2</v>
      </c>
      <c r="N29">
        <f t="shared" ref="N29" si="23">ABS(K29-L29)</f>
        <v>2</v>
      </c>
      <c r="O29" s="6" t="s">
        <v>1170</v>
      </c>
      <c r="P29" s="6" t="s">
        <v>1171</v>
      </c>
      <c r="Q29" s="6"/>
      <c r="R29" s="6"/>
      <c r="S29" s="6"/>
      <c r="T29" s="6" t="str">
        <f>HYPERLINK(".\links\NR-LIGHT\TI-435-NR-LIGHT.txt","synaptic vesicle glycoprotein 2B-like isoform 1")</f>
        <v>synaptic vesicle glycoprotein 2B-like isoform 1</v>
      </c>
      <c r="U29" s="6" t="str">
        <f>HYPERLINK("http://www.ncbi.nlm.nih.gov/sutils/blink.cgi?pid=66499643","7.7")</f>
        <v>7.7</v>
      </c>
      <c r="V29" s="6" t="str">
        <f>HYPERLINK("http://www.ncbi.nlm.nih.gov/protein/66499643","gi|66499643")</f>
        <v>gi|66499643</v>
      </c>
      <c r="W29" s="6">
        <v>31.6</v>
      </c>
      <c r="X29" s="6">
        <v>93</v>
      </c>
      <c r="Y29" s="6">
        <v>550</v>
      </c>
      <c r="Z29" s="6">
        <v>26</v>
      </c>
      <c r="AA29" s="6">
        <v>17</v>
      </c>
      <c r="AB29" s="6">
        <v>71</v>
      </c>
      <c r="AC29" s="6">
        <v>5</v>
      </c>
      <c r="AD29" s="6">
        <v>256</v>
      </c>
      <c r="AE29" s="6">
        <v>4</v>
      </c>
      <c r="AF29" s="6">
        <v>1</v>
      </c>
      <c r="AG29" s="6"/>
      <c r="AH29" s="6" t="s">
        <v>13</v>
      </c>
      <c r="AI29" s="6" t="s">
        <v>51</v>
      </c>
      <c r="AJ29" s="6" t="s">
        <v>83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 t="s">
        <v>8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 t="s">
        <v>8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 t="s">
        <v>8</v>
      </c>
      <c r="CC29" s="6"/>
      <c r="CD29" s="6"/>
      <c r="CE29" s="6" t="s">
        <v>8</v>
      </c>
      <c r="CF29" s="6"/>
      <c r="CG29" s="6"/>
      <c r="CH29" s="6" t="s">
        <v>8</v>
      </c>
      <c r="CI29" s="6"/>
      <c r="CJ29" s="6" t="s">
        <v>8</v>
      </c>
      <c r="CK29" s="6"/>
      <c r="CL29" s="6" t="s">
        <v>8</v>
      </c>
      <c r="CM29" s="6"/>
      <c r="CN29" s="6" t="s">
        <v>8</v>
      </c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 t="s">
        <v>8</v>
      </c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</row>
    <row r="30" spans="1:16295">
      <c r="A30" s="6" t="str">
        <f>HYPERLINK(".\links\pep\TI-433-pep.txt","TI-433")</f>
        <v>TI-433</v>
      </c>
      <c r="B30" s="6">
        <v>433</v>
      </c>
      <c r="C30" s="6" t="s">
        <v>28</v>
      </c>
      <c r="D30" s="6">
        <v>125</v>
      </c>
      <c r="E30" s="7">
        <v>4</v>
      </c>
      <c r="F30" s="6" t="str">
        <f>HYPERLINK(".\links\cds\TI-433-cds.txt","TI-433")</f>
        <v>TI-433</v>
      </c>
      <c r="G30" s="6">
        <v>378</v>
      </c>
      <c r="H30" s="6"/>
      <c r="I30" s="6" t="s">
        <v>8</v>
      </c>
      <c r="J30" s="6" t="s">
        <v>6</v>
      </c>
      <c r="K30" s="6">
        <v>0</v>
      </c>
      <c r="L30" s="6">
        <v>2</v>
      </c>
      <c r="M30">
        <f t="shared" ref="M30" si="24">K30-L30</f>
        <v>-2</v>
      </c>
      <c r="N30">
        <f t="shared" ref="N30" si="25">ABS(K30-L30)</f>
        <v>2</v>
      </c>
      <c r="O30" s="6" t="s">
        <v>1170</v>
      </c>
      <c r="P30" s="6" t="s">
        <v>1171</v>
      </c>
      <c r="Q30" s="6"/>
      <c r="R30" s="6"/>
      <c r="S30" s="6"/>
      <c r="T30" s="6" t="str">
        <f>HYPERLINK(".\links\NR-LIGHT\TI-433-NR-LIGHT.txt","AGAP001637-PA")</f>
        <v>AGAP001637-PA</v>
      </c>
      <c r="U30" s="6" t="str">
        <f>HYPERLINK("http://www.ncbi.nlm.nih.gov/sutils/blink.cgi?pid=333470126","4E-006")</f>
        <v>4E-006</v>
      </c>
      <c r="V30" s="6" t="str">
        <f>HYPERLINK("http://www.ncbi.nlm.nih.gov/protein/333470126","gi|333470126")</f>
        <v>gi|333470126</v>
      </c>
      <c r="W30" s="6">
        <v>52.4</v>
      </c>
      <c r="X30" s="6">
        <v>65</v>
      </c>
      <c r="Y30" s="6">
        <v>205</v>
      </c>
      <c r="Z30" s="6">
        <v>39</v>
      </c>
      <c r="AA30" s="6">
        <v>32</v>
      </c>
      <c r="AB30" s="6">
        <v>41</v>
      </c>
      <c r="AC30" s="6">
        <v>7</v>
      </c>
      <c r="AD30" s="6">
        <v>28</v>
      </c>
      <c r="AE30" s="6">
        <v>63</v>
      </c>
      <c r="AF30" s="6">
        <v>1</v>
      </c>
      <c r="AG30" s="6"/>
      <c r="AH30" s="6" t="s">
        <v>13</v>
      </c>
      <c r="AI30" s="6" t="s">
        <v>51</v>
      </c>
      <c r="AJ30" s="6" t="s">
        <v>275</v>
      </c>
    </row>
    <row r="31" spans="1:16295">
      <c r="A31" t="str">
        <f>HYPERLINK(".\links\pep\TI-418-pep.txt","TI-418")</f>
        <v>TI-418</v>
      </c>
      <c r="B31">
        <v>418</v>
      </c>
      <c r="C31" t="s">
        <v>18</v>
      </c>
      <c r="D31">
        <v>206</v>
      </c>
      <c r="E31" s="2">
        <v>2.9126210000000001</v>
      </c>
      <c r="F31" t="str">
        <f>HYPERLINK(".\links\cds\TI-418-cds.txt","TI-418")</f>
        <v>TI-418</v>
      </c>
      <c r="G31">
        <v>617</v>
      </c>
      <c r="I31" t="s">
        <v>8</v>
      </c>
      <c r="J31" t="s">
        <v>8</v>
      </c>
      <c r="K31">
        <v>0</v>
      </c>
      <c r="L31">
        <v>2</v>
      </c>
      <c r="M31">
        <f t="shared" ref="M31:M32" si="26">K31-L31</f>
        <v>-2</v>
      </c>
      <c r="N31">
        <f t="shared" ref="N31:N32" si="27">ABS(K31-L31)</f>
        <v>2</v>
      </c>
      <c r="O31" t="s">
        <v>1212</v>
      </c>
      <c r="P31" t="s">
        <v>1169</v>
      </c>
      <c r="Q31" t="str">
        <f>HYPERLINK(".\links\NR-LIGHT\TI-418-NR-LIGHT.txt","NR-LIGHT")</f>
        <v>NR-LIGHT</v>
      </c>
      <c r="R31">
        <v>0</v>
      </c>
      <c r="S31">
        <v>64</v>
      </c>
      <c r="T31" t="str">
        <f>HYPERLINK(".\links\NR-LIGHT\TI-418-NR-LIGHT.txt","60S acidic ribosomal protein P0")</f>
        <v>60S acidic ribosomal protein P0</v>
      </c>
      <c r="U31" t="str">
        <f>HYPERLINK("http://www.ncbi.nlm.nih.gov/sutils/blink.cgi?pid=263173401","1E-101")</f>
        <v>1E-101</v>
      </c>
      <c r="V31" t="str">
        <f>HYPERLINK("http://www.ncbi.nlm.nih.gov/protein/263173401","gi|263173401")</f>
        <v>gi|263173401</v>
      </c>
      <c r="W31">
        <v>371</v>
      </c>
      <c r="X31">
        <v>204</v>
      </c>
      <c r="Y31">
        <v>320</v>
      </c>
      <c r="Z31">
        <v>88</v>
      </c>
      <c r="AA31">
        <v>64</v>
      </c>
      <c r="AB31">
        <v>24</v>
      </c>
      <c r="AC31">
        <v>0</v>
      </c>
      <c r="AD31">
        <v>15</v>
      </c>
      <c r="AE31">
        <v>1</v>
      </c>
      <c r="AF31">
        <v>1</v>
      </c>
      <c r="AH31" t="s">
        <v>13</v>
      </c>
      <c r="AI31" t="s">
        <v>51</v>
      </c>
      <c r="AJ31" t="s">
        <v>280</v>
      </c>
      <c r="AK31" t="str">
        <f>HYPERLINK(".\links\SWISSP\TI-418-SWISSP.txt","60S acidic ribosomal protein P0 OS=Ceratitis capitata GN=RpLP0 PE=3 SV=1")</f>
        <v>60S acidic ribosomal protein P0 OS=Ceratitis capitata GN=RpLP0 PE=3 SV=1</v>
      </c>
      <c r="AL31" t="str">
        <f>HYPERLINK("http://www.uniprot.org/uniprot/Q9U3U0","1E-089")</f>
        <v>1E-089</v>
      </c>
      <c r="AM31" t="s">
        <v>90</v>
      </c>
      <c r="AN31">
        <v>328</v>
      </c>
      <c r="AO31">
        <v>202</v>
      </c>
      <c r="AP31">
        <v>317</v>
      </c>
      <c r="AQ31">
        <v>79</v>
      </c>
      <c r="AR31">
        <v>64</v>
      </c>
      <c r="AS31">
        <v>42</v>
      </c>
      <c r="AT31">
        <v>0</v>
      </c>
      <c r="AU31">
        <v>16</v>
      </c>
      <c r="AV31">
        <v>2</v>
      </c>
      <c r="AW31">
        <v>1</v>
      </c>
      <c r="AX31" t="s">
        <v>91</v>
      </c>
      <c r="AY31" t="str">
        <f>HYPERLINK(".\links\PREV-RHOD-PEP\TI-418-PREV-RHOD-PEP.txt","Contig4545_2")</f>
        <v>Contig4545_2</v>
      </c>
      <c r="AZ31" s="3">
        <v>9.9999999999999994E-107</v>
      </c>
      <c r="BA31" t="s">
        <v>984</v>
      </c>
      <c r="BB31">
        <v>380</v>
      </c>
      <c r="BC31">
        <v>211</v>
      </c>
      <c r="BD31">
        <v>728</v>
      </c>
      <c r="BE31">
        <v>90</v>
      </c>
      <c r="BF31">
        <v>29</v>
      </c>
      <c r="BG31">
        <v>21</v>
      </c>
      <c r="BH31">
        <v>7</v>
      </c>
      <c r="BI31">
        <v>422</v>
      </c>
      <c r="BJ31">
        <v>1</v>
      </c>
      <c r="BK31">
        <v>1</v>
      </c>
      <c r="BL31" t="s">
        <v>328</v>
      </c>
      <c r="BM31">
        <f>HYPERLINK(".\links\GO\TI-418-GO.txt",2E-88)</f>
        <v>1.9999999999999999E-88</v>
      </c>
      <c r="BN31" t="s">
        <v>329</v>
      </c>
      <c r="BO31" t="s">
        <v>330</v>
      </c>
      <c r="BP31" t="s">
        <v>331</v>
      </c>
      <c r="BQ31" t="s">
        <v>332</v>
      </c>
      <c r="BR31" s="3">
        <v>1.9999999999999999E-88</v>
      </c>
      <c r="BS31" t="s">
        <v>333</v>
      </c>
      <c r="BT31" t="s">
        <v>323</v>
      </c>
      <c r="BU31" t="s">
        <v>334</v>
      </c>
      <c r="BV31" t="s">
        <v>335</v>
      </c>
      <c r="BW31" s="3">
        <v>1.9999999999999999E-88</v>
      </c>
      <c r="BX31" t="s">
        <v>336</v>
      </c>
      <c r="BY31" t="s">
        <v>330</v>
      </c>
      <c r="BZ31" t="s">
        <v>331</v>
      </c>
      <c r="CA31" t="s">
        <v>337</v>
      </c>
      <c r="CB31" s="3">
        <v>1.9999999999999999E-88</v>
      </c>
    </row>
    <row r="32" spans="1:16295">
      <c r="A32" t="str">
        <f>HYPERLINK(".\links\pep\TI-417-pep.txt","TI-417")</f>
        <v>TI-417</v>
      </c>
      <c r="B32">
        <v>417</v>
      </c>
      <c r="C32" t="s">
        <v>7</v>
      </c>
      <c r="D32">
        <v>159</v>
      </c>
      <c r="E32">
        <v>0</v>
      </c>
      <c r="F32" t="str">
        <f>HYPERLINK(".\links\cds\TI-417-cds.txt","TI-417")</f>
        <v>TI-417</v>
      </c>
      <c r="G32">
        <v>480</v>
      </c>
      <c r="I32" t="s">
        <v>29</v>
      </c>
      <c r="J32" t="s">
        <v>6</v>
      </c>
      <c r="K32">
        <v>0</v>
      </c>
      <c r="L32">
        <v>2</v>
      </c>
      <c r="M32">
        <f t="shared" si="26"/>
        <v>-2</v>
      </c>
      <c r="N32">
        <f t="shared" si="27"/>
        <v>2</v>
      </c>
      <c r="O32" t="s">
        <v>1330</v>
      </c>
      <c r="P32" t="s">
        <v>1190</v>
      </c>
      <c r="Q32" t="str">
        <f>HYPERLINK(".\links\GO\TI-417-GO.txt","GO")</f>
        <v>GO</v>
      </c>
      <c r="R32" s="3">
        <v>9.9999999999999991E-22</v>
      </c>
      <c r="S32">
        <v>51</v>
      </c>
      <c r="T32" t="str">
        <f>HYPERLINK(".\links\NR-LIGHT\TI-417-NR-LIGHT.txt","AGAP002385-PA")</f>
        <v>AGAP002385-PA</v>
      </c>
      <c r="U32" t="str">
        <f>HYPERLINK("http://www.ncbi.nlm.nih.gov/sutils/blink.cgi?pid=58383485","5E-058")</f>
        <v>5E-058</v>
      </c>
      <c r="V32" t="str">
        <f>HYPERLINK("http://www.ncbi.nlm.nih.gov/protein/58383485","gi|58383485")</f>
        <v>gi|58383485</v>
      </c>
      <c r="W32">
        <v>224</v>
      </c>
      <c r="X32">
        <v>141</v>
      </c>
      <c r="Y32">
        <v>154</v>
      </c>
      <c r="Z32">
        <v>70</v>
      </c>
      <c r="AA32">
        <v>92</v>
      </c>
      <c r="AB32">
        <v>42</v>
      </c>
      <c r="AC32">
        <v>0</v>
      </c>
      <c r="AD32">
        <v>12</v>
      </c>
      <c r="AE32">
        <v>17</v>
      </c>
      <c r="AF32">
        <v>1</v>
      </c>
      <c r="AH32" t="s">
        <v>13</v>
      </c>
      <c r="AI32" t="s">
        <v>51</v>
      </c>
      <c r="AJ32" t="s">
        <v>275</v>
      </c>
      <c r="AK32" t="str">
        <f>HYPERLINK(".\links\SWISSP\TI-417-SWISSP.txt","Trafficking protein particle complex subunit 6B OS=Homo sapiens GN=TRAPPC6B PE=1")</f>
        <v>Trafficking protein particle complex subunit 6B OS=Homo sapiens GN=TRAPPC6B PE=1</v>
      </c>
      <c r="AL32" t="str">
        <f>HYPERLINK("http://www.uniprot.org/uniprot/Q86SZ2","3E-042")</f>
        <v>3E-042</v>
      </c>
      <c r="AM32" t="s">
        <v>222</v>
      </c>
      <c r="AN32">
        <v>170</v>
      </c>
      <c r="AO32">
        <v>124</v>
      </c>
      <c r="AP32">
        <v>158</v>
      </c>
      <c r="AQ32">
        <v>59</v>
      </c>
      <c r="AR32">
        <v>79</v>
      </c>
      <c r="AS32">
        <v>51</v>
      </c>
      <c r="AT32">
        <v>0</v>
      </c>
      <c r="AU32">
        <v>33</v>
      </c>
      <c r="AV32">
        <v>34</v>
      </c>
      <c r="AW32">
        <v>1</v>
      </c>
      <c r="AX32" t="s">
        <v>68</v>
      </c>
      <c r="AY32" t="s">
        <v>8</v>
      </c>
      <c r="BL32" t="s">
        <v>885</v>
      </c>
      <c r="BM32">
        <f>HYPERLINK(".\links\GO\TI-417-GO.txt",1E-21)</f>
        <v>9.9999999999999991E-22</v>
      </c>
      <c r="BN32" t="s">
        <v>373</v>
      </c>
      <c r="BO32" t="s">
        <v>373</v>
      </c>
      <c r="BQ32" t="s">
        <v>374</v>
      </c>
      <c r="BR32" s="3">
        <v>9.9999999999999991E-22</v>
      </c>
      <c r="BS32" t="s">
        <v>886</v>
      </c>
      <c r="BT32" t="s">
        <v>477</v>
      </c>
      <c r="BU32" t="s">
        <v>477</v>
      </c>
      <c r="BV32" t="s">
        <v>887</v>
      </c>
      <c r="BW32" s="3">
        <v>9.9999999999999991E-22</v>
      </c>
      <c r="BX32" t="s">
        <v>769</v>
      </c>
      <c r="BY32" t="s">
        <v>373</v>
      </c>
      <c r="CA32" t="s">
        <v>770</v>
      </c>
      <c r="CB32" s="3">
        <v>9.9999999999999991E-22</v>
      </c>
    </row>
    <row r="33" spans="1:16383">
      <c r="A33" s="6" t="str">
        <f>HYPERLINK(".\links\pep\TI-403-pep.txt","TI-403")</f>
        <v>TI-403</v>
      </c>
      <c r="B33" s="6">
        <v>403</v>
      </c>
      <c r="C33" s="6" t="s">
        <v>7</v>
      </c>
      <c r="D33" s="6">
        <v>81</v>
      </c>
      <c r="E33" s="6">
        <v>0</v>
      </c>
      <c r="F33" s="6" t="str">
        <f>HYPERLINK(".\links\cds\TI-403-cds.txt","TI-403")</f>
        <v>TI-403</v>
      </c>
      <c r="G33" s="6">
        <v>246</v>
      </c>
      <c r="H33" s="6"/>
      <c r="I33" s="6" t="s">
        <v>29</v>
      </c>
      <c r="J33" s="6" t="s">
        <v>6</v>
      </c>
      <c r="K33" s="6">
        <v>0</v>
      </c>
      <c r="L33" s="6">
        <v>2</v>
      </c>
      <c r="M33">
        <f t="shared" ref="M33" si="28">K33-L33</f>
        <v>-2</v>
      </c>
      <c r="N33">
        <f t="shared" ref="N33" si="29">ABS(K33-L33)</f>
        <v>2</v>
      </c>
      <c r="O33" s="6" t="s">
        <v>1170</v>
      </c>
      <c r="P33" s="6" t="s">
        <v>1171</v>
      </c>
      <c r="Q33" s="6"/>
      <c r="R33" s="6"/>
      <c r="S33" s="6" t="s">
        <v>8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 t="s">
        <v>8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 t="s">
        <v>8</v>
      </c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 t="s">
        <v>8</v>
      </c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16383">
      <c r="A34" s="6" t="str">
        <f>HYPERLINK(".\links\pep\TI-287-pep.txt","TI-287")</f>
        <v>TI-287</v>
      </c>
      <c r="B34" s="6">
        <v>287</v>
      </c>
      <c r="C34" s="6" t="s">
        <v>10</v>
      </c>
      <c r="D34" s="6">
        <v>48</v>
      </c>
      <c r="E34" s="6">
        <v>0</v>
      </c>
      <c r="F34" s="6" t="str">
        <f>HYPERLINK(".\links\cds\TI-287-cds.txt","TI-287")</f>
        <v>TI-287</v>
      </c>
      <c r="G34" s="6">
        <v>147</v>
      </c>
      <c r="H34" s="6"/>
      <c r="I34" s="6" t="s">
        <v>8</v>
      </c>
      <c r="J34" s="6" t="s">
        <v>6</v>
      </c>
      <c r="K34" s="6">
        <v>0</v>
      </c>
      <c r="L34" s="6">
        <v>2</v>
      </c>
      <c r="M34">
        <f t="shared" ref="M34" si="30">K34-L34</f>
        <v>-2</v>
      </c>
      <c r="N34">
        <f t="shared" ref="N34" si="31">ABS(K34-L34)</f>
        <v>2</v>
      </c>
      <c r="O34" s="6" t="s">
        <v>1170</v>
      </c>
      <c r="P34" s="6" t="s">
        <v>1171</v>
      </c>
      <c r="Q34" s="6"/>
      <c r="R34" s="6"/>
      <c r="S34" s="6" t="s">
        <v>8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 t="s">
        <v>8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 t="s">
        <v>8</v>
      </c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 t="s">
        <v>8</v>
      </c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 t="s">
        <v>8</v>
      </c>
      <c r="CC34" s="6"/>
      <c r="CD34" s="6"/>
      <c r="CE34" s="6" t="s">
        <v>8</v>
      </c>
      <c r="CF34" s="6"/>
      <c r="CG34" s="6"/>
      <c r="CH34" s="6" t="s">
        <v>8</v>
      </c>
      <c r="CI34" s="6"/>
      <c r="CJ34" s="6" t="s">
        <v>8</v>
      </c>
      <c r="CK34" s="6"/>
      <c r="CL34" s="6" t="s">
        <v>8</v>
      </c>
      <c r="CM34" s="6"/>
      <c r="CN34" s="6" t="s">
        <v>8</v>
      </c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 t="s">
        <v>8</v>
      </c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6383">
      <c r="A35" s="6" t="str">
        <f>HYPERLINK(".\links\pep\TI-272-pep.txt","TI-272")</f>
        <v>TI-272</v>
      </c>
      <c r="B35" s="6">
        <v>272</v>
      </c>
      <c r="C35" s="6" t="s">
        <v>12</v>
      </c>
      <c r="D35" s="6">
        <v>151</v>
      </c>
      <c r="E35" s="6">
        <v>0</v>
      </c>
      <c r="F35" s="6" t="str">
        <f>HYPERLINK(".\links\cds\TI-272-cds.txt","TI-272")</f>
        <v>TI-272</v>
      </c>
      <c r="G35" s="6">
        <v>456</v>
      </c>
      <c r="H35" s="6"/>
      <c r="I35" s="6" t="s">
        <v>8</v>
      </c>
      <c r="J35" s="6" t="s">
        <v>6</v>
      </c>
      <c r="K35" s="6">
        <v>0</v>
      </c>
      <c r="L35" s="6">
        <v>2</v>
      </c>
      <c r="M35">
        <f t="shared" ref="M35" si="32">K35-L35</f>
        <v>-2</v>
      </c>
      <c r="N35">
        <f t="shared" ref="N35" si="33">ABS(K35-L35)</f>
        <v>2</v>
      </c>
      <c r="O35" s="6" t="s">
        <v>1170</v>
      </c>
      <c r="P35" s="6" t="s">
        <v>1171</v>
      </c>
      <c r="Q35" s="6"/>
      <c r="R35" s="6"/>
      <c r="S35" s="6"/>
      <c r="T35" s="6" t="str">
        <f>HYPERLINK(".\links\NR-LIGHT\TI-272-NR-LIGHT.txt","hypothetical protein")</f>
        <v>hypothetical protein</v>
      </c>
      <c r="U35" s="6" t="str">
        <f>HYPERLINK("http://www.ncbi.nlm.nih.gov/sutils/blink.cgi?pid=72082777","5.4")</f>
        <v>5.4</v>
      </c>
      <c r="V35" s="6" t="str">
        <f>HYPERLINK("http://www.ncbi.nlm.nih.gov/protein/72082777","gi|72082777")</f>
        <v>gi|72082777</v>
      </c>
      <c r="W35" s="6">
        <v>32</v>
      </c>
      <c r="X35" s="6">
        <v>47</v>
      </c>
      <c r="Y35" s="6">
        <v>290</v>
      </c>
      <c r="Z35" s="6">
        <v>30</v>
      </c>
      <c r="AA35" s="6">
        <v>17</v>
      </c>
      <c r="AB35" s="6">
        <v>34</v>
      </c>
      <c r="AC35" s="6">
        <v>4</v>
      </c>
      <c r="AD35" s="6">
        <v>205</v>
      </c>
      <c r="AE35" s="6">
        <v>94</v>
      </c>
      <c r="AF35" s="6">
        <v>1</v>
      </c>
      <c r="AG35" s="6"/>
      <c r="AH35" s="6" t="s">
        <v>13</v>
      </c>
      <c r="AI35" s="6" t="s">
        <v>51</v>
      </c>
      <c r="AJ35" s="6" t="s">
        <v>288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 t="s">
        <v>8</v>
      </c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 t="s">
        <v>8</v>
      </c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 t="s">
        <v>8</v>
      </c>
      <c r="CC35" s="6"/>
      <c r="CD35" s="6"/>
      <c r="CE35" s="6" t="s">
        <v>8</v>
      </c>
      <c r="CF35" s="6"/>
      <c r="CG35" s="6"/>
      <c r="CH35" s="6" t="s">
        <v>8</v>
      </c>
      <c r="CI35" s="6"/>
      <c r="CJ35" s="6" t="s">
        <v>8</v>
      </c>
      <c r="CK35" s="6"/>
      <c r="CL35" s="6" t="s">
        <v>8</v>
      </c>
      <c r="CM35" s="6"/>
      <c r="CN35" s="6" t="s">
        <v>8</v>
      </c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 t="s">
        <v>8</v>
      </c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</row>
    <row r="36" spans="1:16383" s="6" customFormat="1">
      <c r="A36" t="str">
        <f>HYPERLINK(".\links\pep\TI-242-pep.txt","TI-242")</f>
        <v>TI-242</v>
      </c>
      <c r="B36">
        <v>242</v>
      </c>
      <c r="C36" t="s">
        <v>16</v>
      </c>
      <c r="D36">
        <v>167</v>
      </c>
      <c r="E36">
        <v>0</v>
      </c>
      <c r="F36" t="str">
        <f>HYPERLINK(".\links\cds\TI-242-cds.txt","TI-242")</f>
        <v>TI-242</v>
      </c>
      <c r="G36">
        <v>499</v>
      </c>
      <c r="H36"/>
      <c r="I36" t="s">
        <v>8</v>
      </c>
      <c r="J36" t="s">
        <v>8</v>
      </c>
      <c r="K36">
        <v>0</v>
      </c>
      <c r="L36">
        <v>2</v>
      </c>
      <c r="M36">
        <f t="shared" ref="M36" si="34">K36-L36</f>
        <v>-2</v>
      </c>
      <c r="N36">
        <f t="shared" ref="N36" si="35">ABS(K36-L36)</f>
        <v>2</v>
      </c>
      <c r="O36" t="s">
        <v>1298</v>
      </c>
      <c r="P36" t="s">
        <v>1172</v>
      </c>
      <c r="Q36" t="str">
        <f>HYPERLINK(".\links\NR-LIGHT\TI-242-NR-LIGHT.txt","NR-LIGHT")</f>
        <v>NR-LIGHT</v>
      </c>
      <c r="R36" s="3">
        <v>2.0000000000000001E-33</v>
      </c>
      <c r="S36">
        <v>17.899999999999999</v>
      </c>
      <c r="T36" t="str">
        <f>HYPERLINK(".\links\NR-LIGHT\TI-242-NR-LIGHT.txt","putative inorganic phosphate cotransporter-like isoform 1")</f>
        <v>putative inorganic phosphate cotransporter-like isoform 1</v>
      </c>
      <c r="U36" t="str">
        <f>HYPERLINK("http://www.ncbi.nlm.nih.gov/sutils/blink.cgi?pid=328709271","2E-033")</f>
        <v>2E-033</v>
      </c>
      <c r="V36" t="str">
        <f>HYPERLINK("http://www.ncbi.nlm.nih.gov/protein/328709271","gi|328709271")</f>
        <v>gi|328709271</v>
      </c>
      <c r="W36">
        <v>143</v>
      </c>
      <c r="X36">
        <v>110</v>
      </c>
      <c r="Y36">
        <v>617</v>
      </c>
      <c r="Z36">
        <v>60</v>
      </c>
      <c r="AA36">
        <v>18</v>
      </c>
      <c r="AB36">
        <v>44</v>
      </c>
      <c r="AC36">
        <v>1</v>
      </c>
      <c r="AD36">
        <v>117</v>
      </c>
      <c r="AE36">
        <v>47</v>
      </c>
      <c r="AF36">
        <v>1</v>
      </c>
      <c r="AG36"/>
      <c r="AH36" t="s">
        <v>13</v>
      </c>
      <c r="AI36" t="s">
        <v>51</v>
      </c>
      <c r="AJ36" t="s">
        <v>264</v>
      </c>
      <c r="AK36" t="str">
        <f>HYPERLINK(".\links\SWISSP\TI-242-SWISSP.txt","Putative inorganic phosphate cotransporter OS=Drosophila melanogaster GN=Picot")</f>
        <v>Putative inorganic phosphate cotransporter OS=Drosophila melanogaster GN=Picot</v>
      </c>
      <c r="AL36" t="str">
        <f>HYPERLINK("http://www.uniprot.org/uniprot/Q9V7S5","2E-024")</f>
        <v>2E-024</v>
      </c>
      <c r="AM36" t="s">
        <v>50</v>
      </c>
      <c r="AN36">
        <v>111</v>
      </c>
      <c r="AO36">
        <v>93</v>
      </c>
      <c r="AP36">
        <v>529</v>
      </c>
      <c r="AQ36">
        <v>56</v>
      </c>
      <c r="AR36">
        <v>18</v>
      </c>
      <c r="AS36">
        <v>43</v>
      </c>
      <c r="AT36">
        <v>6</v>
      </c>
      <c r="AU36">
        <v>37</v>
      </c>
      <c r="AV36">
        <v>59</v>
      </c>
      <c r="AW36">
        <v>1</v>
      </c>
      <c r="AX36" t="s">
        <v>52</v>
      </c>
      <c r="AY36" t="str">
        <f>HYPERLINK(".\links\PREV-RHOD-PEP\TI-242-PREV-RHOD-PEP.txt","Contig17873_2")</f>
        <v>Contig17873_2</v>
      </c>
      <c r="AZ36" s="3">
        <v>1E-46</v>
      </c>
      <c r="BA36" t="s">
        <v>983</v>
      </c>
      <c r="BB36">
        <v>181</v>
      </c>
      <c r="BC36">
        <v>100</v>
      </c>
      <c r="BD36">
        <v>466</v>
      </c>
      <c r="BE36">
        <v>82</v>
      </c>
      <c r="BF36">
        <v>22</v>
      </c>
      <c r="BG36">
        <v>18</v>
      </c>
      <c r="BH36">
        <v>0</v>
      </c>
      <c r="BI36">
        <v>36</v>
      </c>
      <c r="BJ36">
        <v>56</v>
      </c>
      <c r="BK36">
        <v>1</v>
      </c>
      <c r="BL36" t="s">
        <v>317</v>
      </c>
      <c r="BM36">
        <f>HYPERLINK(".\links\GO\TI-242-GO.txt",5E-25)</f>
        <v>4.9999999999999996E-25</v>
      </c>
      <c r="BN36" t="s">
        <v>318</v>
      </c>
      <c r="BO36" t="s">
        <v>319</v>
      </c>
      <c r="BP36" t="s">
        <v>320</v>
      </c>
      <c r="BQ36" t="s">
        <v>321</v>
      </c>
      <c r="BR36" s="3">
        <v>4.9999999999999996E-25</v>
      </c>
      <c r="BS36" t="s">
        <v>322</v>
      </c>
      <c r="BT36" t="s">
        <v>323</v>
      </c>
      <c r="BU36" t="s">
        <v>324</v>
      </c>
      <c r="BV36" t="s">
        <v>325</v>
      </c>
      <c r="BW36" s="3">
        <v>4.9999999999999996E-25</v>
      </c>
      <c r="BX36" t="s">
        <v>326</v>
      </c>
      <c r="BY36" t="s">
        <v>319</v>
      </c>
      <c r="BZ36" t="s">
        <v>320</v>
      </c>
      <c r="CA36" t="s">
        <v>327</v>
      </c>
      <c r="CB36" s="3">
        <v>4.9999999999999996E-25</v>
      </c>
      <c r="CC36"/>
      <c r="CD36"/>
      <c r="CE36" t="s">
        <v>8</v>
      </c>
      <c r="CF36"/>
      <c r="CG36"/>
      <c r="CH36" t="s">
        <v>8</v>
      </c>
      <c r="CI36"/>
      <c r="CJ36" t="s">
        <v>8</v>
      </c>
      <c r="CK36"/>
      <c r="CL36" t="s">
        <v>8</v>
      </c>
      <c r="CM36"/>
      <c r="CN36" t="s">
        <v>8</v>
      </c>
      <c r="CO36"/>
      <c r="CP36"/>
      <c r="CQ36"/>
      <c r="CR36"/>
      <c r="CS36"/>
      <c r="CT36"/>
      <c r="CU36"/>
      <c r="CV36"/>
      <c r="CW36"/>
      <c r="CX36"/>
      <c r="CY36"/>
      <c r="CZ36"/>
      <c r="DA36"/>
      <c r="DB36" t="s">
        <v>8</v>
      </c>
      <c r="DC36"/>
      <c r="DD36"/>
      <c r="DE36"/>
      <c r="DF36"/>
      <c r="DG36"/>
      <c r="DH36"/>
      <c r="DI36"/>
      <c r="DJ36"/>
      <c r="DK36"/>
      <c r="DL36"/>
      <c r="DM36"/>
      <c r="DN36"/>
      <c r="DO36"/>
    </row>
    <row r="37" spans="1:16383" s="6" customFormat="1">
      <c r="A37" t="str">
        <f>HYPERLINK(".\links\pep\TI-216-pep.txt","TI-216")</f>
        <v>TI-216</v>
      </c>
      <c r="B37">
        <v>216</v>
      </c>
      <c r="C37" t="s">
        <v>7</v>
      </c>
      <c r="D37">
        <v>58</v>
      </c>
      <c r="E37">
        <v>0</v>
      </c>
      <c r="F37" t="str">
        <f>HYPERLINK(".\links\cds\TI-216-cds.txt","TI-216")</f>
        <v>TI-216</v>
      </c>
      <c r="G37">
        <v>177</v>
      </c>
      <c r="H37"/>
      <c r="I37" t="s">
        <v>29</v>
      </c>
      <c r="J37" t="s">
        <v>6</v>
      </c>
      <c r="K37">
        <v>0</v>
      </c>
      <c r="L37">
        <v>2</v>
      </c>
      <c r="M37">
        <f t="shared" ref="M37:M38" si="36">K37-L37</f>
        <v>-2</v>
      </c>
      <c r="N37">
        <f t="shared" ref="N37:N38" si="37">ABS(K37-L37)</f>
        <v>2</v>
      </c>
      <c r="O37" t="s">
        <v>1205</v>
      </c>
      <c r="P37" t="s">
        <v>1178</v>
      </c>
      <c r="Q37" t="str">
        <f>HYPERLINK(".\links\NR-LIGHT\TI-216-NR-LIGHT.txt","NR-LIGHT")</f>
        <v>NR-LIGHT</v>
      </c>
      <c r="R37" s="3">
        <v>4.0000000000000002E-26</v>
      </c>
      <c r="S37">
        <v>100</v>
      </c>
      <c r="T37" t="str">
        <f>HYPERLINK(".\links\NR-LIGHT\TI-216-NR-LIGHT.txt","hypothetical protein")</f>
        <v>hypothetical protein</v>
      </c>
      <c r="U37" t="str">
        <f>HYPERLINK("http://www.ncbi.nlm.nih.gov/sutils/blink.cgi?pid=111379887","4E-026")</f>
        <v>4E-026</v>
      </c>
      <c r="V37" t="str">
        <f>HYPERLINK("http://www.ncbi.nlm.nih.gov/protein/111379887","gi|111379887")</f>
        <v>gi|111379887</v>
      </c>
      <c r="W37">
        <v>119</v>
      </c>
      <c r="X37">
        <v>57</v>
      </c>
      <c r="Y37">
        <v>58</v>
      </c>
      <c r="Z37">
        <v>96</v>
      </c>
      <c r="AA37">
        <v>100</v>
      </c>
      <c r="AB37">
        <v>2</v>
      </c>
      <c r="AC37">
        <v>0</v>
      </c>
      <c r="AD37">
        <v>1</v>
      </c>
      <c r="AE37">
        <v>1</v>
      </c>
      <c r="AF37">
        <v>1</v>
      </c>
      <c r="AG37"/>
      <c r="AH37" t="s">
        <v>13</v>
      </c>
      <c r="AI37" t="s">
        <v>51</v>
      </c>
      <c r="AJ37" t="s">
        <v>285</v>
      </c>
      <c r="AK37" t="s">
        <v>8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 t="str">
        <f>HYPERLINK(".\links\PREV-RHOD-PEP\TI-216-PREV-RHOD-PEP.txt","Contig17907_20")</f>
        <v>Contig17907_20</v>
      </c>
      <c r="AZ37" s="3">
        <v>9.9999999999999996E-24</v>
      </c>
      <c r="BA37" t="s">
        <v>1080</v>
      </c>
      <c r="BB37">
        <v>104</v>
      </c>
      <c r="BC37">
        <v>58</v>
      </c>
      <c r="BD37">
        <v>95</v>
      </c>
      <c r="BE37">
        <v>79</v>
      </c>
      <c r="BF37">
        <v>62</v>
      </c>
      <c r="BG37">
        <v>12</v>
      </c>
      <c r="BH37">
        <v>1</v>
      </c>
      <c r="BI37">
        <v>37</v>
      </c>
      <c r="BJ37">
        <v>1</v>
      </c>
      <c r="BK37">
        <v>1</v>
      </c>
      <c r="BL37" t="s">
        <v>706</v>
      </c>
      <c r="BM37">
        <f>HYPERLINK(".\links\GO\TI-216-GO.txt",0.00000004)</f>
        <v>4.0000000000000001E-8</v>
      </c>
      <c r="BN37" t="s">
        <v>8</v>
      </c>
      <c r="BO37" t="s">
        <v>8</v>
      </c>
      <c r="BP37" t="s">
        <v>8</v>
      </c>
      <c r="BQ37" t="s">
        <v>8</v>
      </c>
      <c r="BR37" t="s">
        <v>8</v>
      </c>
      <c r="BS37" t="s">
        <v>707</v>
      </c>
      <c r="BT37" t="s">
        <v>323</v>
      </c>
      <c r="BU37" t="s">
        <v>334</v>
      </c>
      <c r="BV37" t="s">
        <v>708</v>
      </c>
      <c r="BW37">
        <v>4.0000000000000001E-8</v>
      </c>
      <c r="BX37" t="s">
        <v>8</v>
      </c>
      <c r="BY37" t="s">
        <v>8</v>
      </c>
      <c r="BZ37" t="s">
        <v>8</v>
      </c>
      <c r="CA37" t="s">
        <v>8</v>
      </c>
      <c r="CB37" t="s">
        <v>8</v>
      </c>
      <c r="CC37" t="s">
        <v>8</v>
      </c>
      <c r="CD37"/>
      <c r="CE37"/>
      <c r="CF37" t="s">
        <v>8</v>
      </c>
      <c r="CG37"/>
      <c r="CH37"/>
      <c r="CI37" t="s">
        <v>8</v>
      </c>
      <c r="CJ37"/>
      <c r="CK37" t="s">
        <v>8</v>
      </c>
      <c r="CL37"/>
      <c r="CM37" t="s">
        <v>8</v>
      </c>
      <c r="CN37"/>
      <c r="CO37" t="s">
        <v>8</v>
      </c>
      <c r="CP37"/>
      <c r="CQ37"/>
      <c r="CR37"/>
      <c r="CS37"/>
      <c r="CT37"/>
      <c r="CU37"/>
      <c r="CV37"/>
      <c r="CW37"/>
      <c r="CX37"/>
      <c r="CY37"/>
      <c r="CZ37"/>
      <c r="DA37"/>
      <c r="DB37"/>
      <c r="DC37" t="s">
        <v>8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6383" s="6" customFormat="1">
      <c r="A38" t="str">
        <f>HYPERLINK(".\links\pep\TI-209-pep.txt","TI-209")</f>
        <v>TI-209</v>
      </c>
      <c r="B38">
        <v>209</v>
      </c>
      <c r="C38" t="s">
        <v>22</v>
      </c>
      <c r="D38">
        <v>66</v>
      </c>
      <c r="E38">
        <v>0</v>
      </c>
      <c r="F38" t="str">
        <f>HYPERLINK(".\links\cds\TI-209-cds.txt","TI-209")</f>
        <v>TI-209</v>
      </c>
      <c r="G38">
        <v>201</v>
      </c>
      <c r="H38"/>
      <c r="I38" t="s">
        <v>8</v>
      </c>
      <c r="J38" t="s">
        <v>6</v>
      </c>
      <c r="K38">
        <v>0</v>
      </c>
      <c r="L38">
        <v>2</v>
      </c>
      <c r="M38">
        <f t="shared" si="36"/>
        <v>-2</v>
      </c>
      <c r="N38">
        <f t="shared" si="37"/>
        <v>2</v>
      </c>
      <c r="O38" t="s">
        <v>1293</v>
      </c>
      <c r="P38" t="s">
        <v>1178</v>
      </c>
      <c r="Q38" t="str">
        <f>HYPERLINK(".\links\NR-LIGHT\TI-209-NR-LIGHT.txt","NR-LIGHT")</f>
        <v>NR-LIGHT</v>
      </c>
      <c r="R38" s="3">
        <v>4.0000000000000002E-26</v>
      </c>
      <c r="S38">
        <v>50.4</v>
      </c>
      <c r="T38" t="str">
        <f>HYPERLINK(".\links\NR-LIGHT\TI-209-NR-LIGHT.txt","Senescence-associated protein")</f>
        <v>Senescence-associated protein</v>
      </c>
      <c r="U38" t="str">
        <f>HYPERLINK("http://www.ncbi.nlm.nih.gov/sutils/blink.cgi?pid=170591136","4E-026")</f>
        <v>4E-026</v>
      </c>
      <c r="V38" t="str">
        <f>HYPERLINK("http://www.ncbi.nlm.nih.gov/protein/170591136","gi|170591136")</f>
        <v>gi|170591136</v>
      </c>
      <c r="W38">
        <v>119</v>
      </c>
      <c r="X38">
        <v>60</v>
      </c>
      <c r="Y38">
        <v>121</v>
      </c>
      <c r="Z38">
        <v>90</v>
      </c>
      <c r="AA38">
        <v>50</v>
      </c>
      <c r="AB38">
        <v>6</v>
      </c>
      <c r="AC38">
        <v>0</v>
      </c>
      <c r="AD38">
        <v>1</v>
      </c>
      <c r="AE38">
        <v>1</v>
      </c>
      <c r="AF38">
        <v>1</v>
      </c>
      <c r="AG38"/>
      <c r="AH38" t="s">
        <v>13</v>
      </c>
      <c r="AI38" t="s">
        <v>51</v>
      </c>
      <c r="AJ38" t="s">
        <v>284</v>
      </c>
      <c r="AK38" t="s">
        <v>8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 t="str">
        <f>HYPERLINK(".\links\PREV-RHOD-PEP\TI-209-PREV-RHOD-PEP.txt","Contig8150_1")</f>
        <v>Contig8150_1</v>
      </c>
      <c r="AZ38" s="3">
        <v>4.0000000000000003E-15</v>
      </c>
      <c r="BA38" t="s">
        <v>1077</v>
      </c>
      <c r="BB38">
        <v>76.3</v>
      </c>
      <c r="BC38">
        <v>34</v>
      </c>
      <c r="BD38">
        <v>35</v>
      </c>
      <c r="BE38">
        <v>100</v>
      </c>
      <c r="BF38">
        <v>100</v>
      </c>
      <c r="BG38">
        <v>0</v>
      </c>
      <c r="BH38">
        <v>0</v>
      </c>
      <c r="BI38">
        <v>1</v>
      </c>
      <c r="BJ38">
        <v>32</v>
      </c>
      <c r="BK38">
        <v>1</v>
      </c>
      <c r="BL38" t="s">
        <v>8</v>
      </c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 t="s">
        <v>8</v>
      </c>
      <c r="CD38"/>
      <c r="CE38"/>
      <c r="CF38" t="s">
        <v>8</v>
      </c>
      <c r="CG38"/>
      <c r="CH38"/>
      <c r="CI38" t="s">
        <v>8</v>
      </c>
      <c r="CJ38"/>
      <c r="CK38" t="s">
        <v>8</v>
      </c>
      <c r="CL38"/>
      <c r="CM38" t="s">
        <v>8</v>
      </c>
      <c r="CN38"/>
      <c r="CO38" t="s">
        <v>8</v>
      </c>
      <c r="CP38"/>
      <c r="CQ38"/>
      <c r="CR38"/>
      <c r="CS38"/>
      <c r="CT38"/>
      <c r="CU38"/>
      <c r="CV38"/>
      <c r="CW38"/>
      <c r="CX38"/>
      <c r="CY38"/>
      <c r="CZ38"/>
      <c r="DA38"/>
      <c r="DB38"/>
      <c r="DC38" t="str">
        <f>HYPERLINK(".\links\RRNA\TI-209-RRNA.txt","Spirometra erinacei 28S rRNA, partial sequence, clone:S02SEP")</f>
        <v>Spirometra erinacei 28S rRNA, partial sequence, clone:S02SEP</v>
      </c>
      <c r="DD38" t="str">
        <f>HYPERLINK("http://www.ncbi.nlm.nih.gov/entrez/viewer.fcgi?db=nucleotide&amp;val=4958943","8E-096")</f>
        <v>8E-096</v>
      </c>
      <c r="DE38" t="str">
        <f>HYPERLINK("http://www.ncbi.nlm.nih.gov/entrez/viewer.fcgi?db=nucleotide&amp;val=4958943","gi|4958943")</f>
        <v>gi|4958943</v>
      </c>
      <c r="DF38">
        <v>347</v>
      </c>
      <c r="DG38">
        <v>198</v>
      </c>
      <c r="DH38">
        <v>718</v>
      </c>
      <c r="DI38">
        <v>96</v>
      </c>
      <c r="DJ38">
        <v>28</v>
      </c>
      <c r="DK38">
        <v>6</v>
      </c>
      <c r="DL38">
        <v>0</v>
      </c>
      <c r="DM38">
        <v>278</v>
      </c>
      <c r="DN38">
        <v>1</v>
      </c>
      <c r="DO38">
        <v>1</v>
      </c>
      <c r="DP38" t="s">
        <v>51</v>
      </c>
    </row>
    <row r="39" spans="1:16383">
      <c r="A39" t="str">
        <f>HYPERLINK(".\links\pep\TI-187-pep.txt","TI-187")</f>
        <v>TI-187</v>
      </c>
      <c r="B39">
        <v>187</v>
      </c>
      <c r="C39" t="s">
        <v>7</v>
      </c>
      <c r="D39">
        <v>174</v>
      </c>
      <c r="E39">
        <v>0</v>
      </c>
      <c r="F39" t="str">
        <f>HYPERLINK(".\links\cds\TI-187-cds.txt","TI-187")</f>
        <v>TI-187</v>
      </c>
      <c r="G39">
        <v>525</v>
      </c>
      <c r="I39" t="s">
        <v>29</v>
      </c>
      <c r="J39" t="s">
        <v>6</v>
      </c>
      <c r="K39">
        <v>0</v>
      </c>
      <c r="L39">
        <v>2</v>
      </c>
      <c r="M39">
        <f t="shared" ref="M39" si="38">K39-L39</f>
        <v>-2</v>
      </c>
      <c r="N39">
        <f t="shared" ref="N39" si="39">ABS(K39-L39)</f>
        <v>2</v>
      </c>
      <c r="O39" t="s">
        <v>1289</v>
      </c>
      <c r="P39" t="s">
        <v>1181</v>
      </c>
      <c r="Q39" t="str">
        <f>HYPERLINK(".\links\NR-LIGHT\TI-187-NR-LIGHT.txt","NR-LIGHT")</f>
        <v>NR-LIGHT</v>
      </c>
      <c r="R39" s="3">
        <v>9.9999999999999996E-81</v>
      </c>
      <c r="S39">
        <v>83.6</v>
      </c>
      <c r="T39" t="str">
        <f>HYPERLINK(".\links\NR-LIGHT\TI-187-NR-LIGHT.txt","myosin regulatory light chain 2 smooth muscle")</f>
        <v>myosin regulatory light chain 2 smooth muscle</v>
      </c>
      <c r="U39" t="str">
        <f>HYPERLINK("http://www.ncbi.nlm.nih.gov/sutils/blink.cgi?pid=157120145","1E-080")</f>
        <v>1E-080</v>
      </c>
      <c r="V39" t="str">
        <f>HYPERLINK("http://www.ncbi.nlm.nih.gov/protein/157120145","gi|157120145")</f>
        <v>gi|157120145</v>
      </c>
      <c r="W39">
        <v>300</v>
      </c>
      <c r="X39">
        <v>173</v>
      </c>
      <c r="Y39">
        <v>208</v>
      </c>
      <c r="Z39">
        <v>82</v>
      </c>
      <c r="AA39">
        <v>84</v>
      </c>
      <c r="AB39">
        <v>30</v>
      </c>
      <c r="AC39">
        <v>0</v>
      </c>
      <c r="AD39">
        <v>1</v>
      </c>
      <c r="AE39">
        <v>1</v>
      </c>
      <c r="AF39">
        <v>1</v>
      </c>
      <c r="AH39" t="s">
        <v>13</v>
      </c>
      <c r="AI39" t="s">
        <v>51</v>
      </c>
      <c r="AJ39" t="s">
        <v>76</v>
      </c>
      <c r="AK39" t="str">
        <f>HYPERLINK(".\links\SWISSP\TI-187-SWISSP.txt","Myosin regulatory light chain sqh OS=Drosophila melanogaster GN=sqh PE=1 SV=1")</f>
        <v>Myosin regulatory light chain sqh OS=Drosophila melanogaster GN=sqh PE=1 SV=1</v>
      </c>
      <c r="AL39" t="str">
        <f>HYPERLINK("http://www.uniprot.org/uniprot/P40423","2E-078")</f>
        <v>2E-078</v>
      </c>
      <c r="AM39" t="s">
        <v>157</v>
      </c>
      <c r="AN39">
        <v>291</v>
      </c>
      <c r="AO39">
        <v>173</v>
      </c>
      <c r="AP39">
        <v>174</v>
      </c>
      <c r="AQ39">
        <v>80</v>
      </c>
      <c r="AR39">
        <v>100</v>
      </c>
      <c r="AS39">
        <v>34</v>
      </c>
      <c r="AT39">
        <v>0</v>
      </c>
      <c r="AU39">
        <v>1</v>
      </c>
      <c r="AV39">
        <v>1</v>
      </c>
      <c r="AW39">
        <v>1</v>
      </c>
      <c r="AX39" t="s">
        <v>52</v>
      </c>
      <c r="AY39" t="str">
        <f>HYPERLINK(".\links\PREV-RHOD-PEP\TI-187-PREV-RHOD-PEP.txt","Contig17965_34")</f>
        <v>Contig17965_34</v>
      </c>
      <c r="AZ39" s="3">
        <v>7.9999999999999995E-88</v>
      </c>
      <c r="BA39" t="s">
        <v>1073</v>
      </c>
      <c r="BB39">
        <v>318</v>
      </c>
      <c r="BC39">
        <v>173</v>
      </c>
      <c r="BD39">
        <v>174</v>
      </c>
      <c r="BE39">
        <v>89</v>
      </c>
      <c r="BF39">
        <v>100</v>
      </c>
      <c r="BG39">
        <v>18</v>
      </c>
      <c r="BH39">
        <v>0</v>
      </c>
      <c r="BI39">
        <v>1</v>
      </c>
      <c r="BJ39">
        <v>1</v>
      </c>
      <c r="BK39">
        <v>1</v>
      </c>
      <c r="BL39" t="s">
        <v>674</v>
      </c>
      <c r="BM39">
        <f>HYPERLINK(".\links\GO\TI-187-GO.txt",5E-79)</f>
        <v>5E-79</v>
      </c>
      <c r="BN39" t="s">
        <v>675</v>
      </c>
      <c r="BO39" t="s">
        <v>345</v>
      </c>
      <c r="BP39" t="s">
        <v>349</v>
      </c>
      <c r="BQ39" t="s">
        <v>676</v>
      </c>
      <c r="BR39" s="3">
        <v>5E-79</v>
      </c>
      <c r="BS39" t="s">
        <v>677</v>
      </c>
      <c r="BT39" t="s">
        <v>323</v>
      </c>
      <c r="BU39" t="s">
        <v>334</v>
      </c>
      <c r="BV39" t="s">
        <v>678</v>
      </c>
      <c r="BW39" s="3">
        <v>5E-79</v>
      </c>
      <c r="BX39" t="s">
        <v>679</v>
      </c>
      <c r="BY39" t="s">
        <v>345</v>
      </c>
      <c r="BZ39" t="s">
        <v>349</v>
      </c>
      <c r="CA39" t="s">
        <v>680</v>
      </c>
      <c r="CB39" s="3">
        <v>5E-79</v>
      </c>
      <c r="CE39" t="s">
        <v>8</v>
      </c>
      <c r="CH39" t="s">
        <v>8</v>
      </c>
      <c r="CJ39" t="s">
        <v>8</v>
      </c>
      <c r="CL39" t="s">
        <v>8</v>
      </c>
      <c r="CN39" t="s">
        <v>8</v>
      </c>
      <c r="DB39" t="s">
        <v>8</v>
      </c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  <c r="APJ39" s="6"/>
      <c r="APK39" s="6"/>
      <c r="APL39" s="6"/>
      <c r="APM39" s="6"/>
      <c r="APN39" s="6"/>
      <c r="APO39" s="6"/>
      <c r="APP39" s="6"/>
      <c r="APQ39" s="6"/>
      <c r="APR39" s="6"/>
      <c r="APS39" s="6"/>
      <c r="APT39" s="6"/>
      <c r="APU39" s="6"/>
      <c r="APV39" s="6"/>
      <c r="APW39" s="6"/>
      <c r="APX39" s="6"/>
      <c r="APY39" s="6"/>
      <c r="APZ39" s="6"/>
      <c r="AQA39" s="6"/>
      <c r="AQB39" s="6"/>
      <c r="AQC39" s="6"/>
      <c r="AQD39" s="6"/>
      <c r="AQE39" s="6"/>
      <c r="AQF39" s="6"/>
      <c r="AQG39" s="6"/>
      <c r="AQH39" s="6"/>
      <c r="AQI39" s="6"/>
      <c r="AQJ39" s="6"/>
      <c r="AQK39" s="6"/>
      <c r="AQL39" s="6"/>
      <c r="AQM39" s="6"/>
      <c r="AQN39" s="6"/>
      <c r="AQO39" s="6"/>
      <c r="AQP39" s="6"/>
      <c r="AQQ39" s="6"/>
      <c r="AQR39" s="6"/>
      <c r="AQS39" s="6"/>
      <c r="AQT39" s="6"/>
      <c r="AQU39" s="6"/>
      <c r="AQV39" s="6"/>
      <c r="AQW39" s="6"/>
      <c r="AQX39" s="6"/>
      <c r="AQY39" s="6"/>
      <c r="AQZ39" s="6"/>
      <c r="ARA39" s="6"/>
      <c r="ARB39" s="6"/>
      <c r="ARC39" s="6"/>
      <c r="ARD39" s="6"/>
      <c r="ARE39" s="6"/>
      <c r="ARF39" s="6"/>
      <c r="ARG39" s="6"/>
      <c r="ARH39" s="6"/>
      <c r="ARI39" s="6"/>
      <c r="ARJ39" s="6"/>
      <c r="ARK39" s="6"/>
      <c r="ARL39" s="6"/>
      <c r="ARM39" s="6"/>
      <c r="ARN39" s="6"/>
      <c r="ARO39" s="6"/>
      <c r="ARP39" s="6"/>
      <c r="ARQ39" s="6"/>
      <c r="ARR39" s="6"/>
      <c r="ARS39" s="6"/>
      <c r="ART39" s="6"/>
      <c r="ARU39" s="6"/>
      <c r="ARV39" s="6"/>
      <c r="ARW39" s="6"/>
      <c r="ARX39" s="6"/>
      <c r="ARY39" s="6"/>
      <c r="ARZ39" s="6"/>
      <c r="ASA39" s="6"/>
      <c r="ASB39" s="6"/>
      <c r="ASC39" s="6"/>
      <c r="ASD39" s="6"/>
      <c r="ASE39" s="6"/>
      <c r="ASF39" s="6"/>
      <c r="ASG39" s="6"/>
      <c r="ASH39" s="6"/>
      <c r="ASI39" s="6"/>
      <c r="ASJ39" s="6"/>
      <c r="ASK39" s="6"/>
      <c r="ASL39" s="6"/>
      <c r="ASM39" s="6"/>
      <c r="ASN39" s="6"/>
      <c r="ASO39" s="6"/>
      <c r="ASP39" s="6"/>
      <c r="ASQ39" s="6"/>
      <c r="ASR39" s="6"/>
      <c r="ASS39" s="6"/>
      <c r="AST39" s="6"/>
      <c r="ASU39" s="6"/>
      <c r="ASV39" s="6"/>
      <c r="ASW39" s="6"/>
      <c r="ASX39" s="6"/>
      <c r="ASY39" s="6"/>
      <c r="ASZ39" s="6"/>
      <c r="ATA39" s="6"/>
      <c r="ATB39" s="6"/>
      <c r="ATC39" s="6"/>
      <c r="ATD39" s="6"/>
      <c r="ATE39" s="6"/>
      <c r="ATF39" s="6"/>
      <c r="ATG39" s="6"/>
      <c r="ATH39" s="6"/>
      <c r="ATI39" s="6"/>
      <c r="ATJ39" s="6"/>
      <c r="ATK39" s="6"/>
      <c r="ATL39" s="6"/>
      <c r="ATM39" s="6"/>
      <c r="ATN39" s="6"/>
      <c r="ATO39" s="6"/>
      <c r="ATP39" s="6"/>
      <c r="ATQ39" s="6"/>
      <c r="ATR39" s="6"/>
      <c r="ATS39" s="6"/>
      <c r="ATT39" s="6"/>
      <c r="ATU39" s="6"/>
      <c r="ATV39" s="6"/>
      <c r="ATW39" s="6"/>
      <c r="ATX39" s="6"/>
      <c r="ATY39" s="6"/>
      <c r="ATZ39" s="6"/>
      <c r="AUA39" s="6"/>
      <c r="AUB39" s="6"/>
      <c r="AUC39" s="6"/>
      <c r="AUD39" s="6"/>
      <c r="AUE39" s="6"/>
      <c r="AUF39" s="6"/>
      <c r="AUG39" s="6"/>
      <c r="AUH39" s="6"/>
      <c r="AUI39" s="6"/>
      <c r="AUJ39" s="6"/>
      <c r="AUK39" s="6"/>
      <c r="AUL39" s="6"/>
      <c r="AUM39" s="6"/>
      <c r="AUN39" s="6"/>
      <c r="AUO39" s="6"/>
      <c r="AUP39" s="6"/>
      <c r="AUQ39" s="6"/>
      <c r="AUR39" s="6"/>
      <c r="AUS39" s="6"/>
      <c r="AUT39" s="6"/>
      <c r="AUU39" s="6"/>
      <c r="AUV39" s="6"/>
      <c r="AUW39" s="6"/>
      <c r="AUX39" s="6"/>
      <c r="AUY39" s="6"/>
      <c r="AUZ39" s="6"/>
      <c r="AVA39" s="6"/>
      <c r="AVB39" s="6"/>
      <c r="AVC39" s="6"/>
      <c r="AVD39" s="6"/>
      <c r="AVE39" s="6"/>
      <c r="AVF39" s="6"/>
      <c r="AVG39" s="6"/>
      <c r="AVH39" s="6"/>
      <c r="AVI39" s="6"/>
      <c r="AVJ39" s="6"/>
      <c r="AVK39" s="6"/>
      <c r="AVL39" s="6"/>
      <c r="AVM39" s="6"/>
      <c r="AVN39" s="6"/>
      <c r="AVO39" s="6"/>
      <c r="AVP39" s="6"/>
      <c r="AVQ39" s="6"/>
      <c r="AVR39" s="6"/>
      <c r="AVS39" s="6"/>
      <c r="AVT39" s="6"/>
      <c r="AVU39" s="6"/>
      <c r="AVV39" s="6"/>
      <c r="AVW39" s="6"/>
      <c r="AVX39" s="6"/>
      <c r="AVY39" s="6"/>
      <c r="AVZ39" s="6"/>
      <c r="AWA39" s="6"/>
      <c r="AWB39" s="6"/>
      <c r="AWC39" s="6"/>
      <c r="AWD39" s="6"/>
      <c r="AWE39" s="6"/>
      <c r="AWF39" s="6"/>
      <c r="AWG39" s="6"/>
      <c r="AWH39" s="6"/>
      <c r="AWI39" s="6"/>
      <c r="AWJ39" s="6"/>
      <c r="AWK39" s="6"/>
      <c r="AWL39" s="6"/>
      <c r="AWM39" s="6"/>
      <c r="AWN39" s="6"/>
      <c r="AWO39" s="6"/>
      <c r="AWP39" s="6"/>
      <c r="AWQ39" s="6"/>
      <c r="AWR39" s="6"/>
      <c r="AWS39" s="6"/>
      <c r="AWT39" s="6"/>
      <c r="AWU39" s="6"/>
      <c r="AWV39" s="6"/>
      <c r="AWW39" s="6"/>
      <c r="AWX39" s="6"/>
      <c r="AWY39" s="6"/>
      <c r="AWZ39" s="6"/>
      <c r="AXA39" s="6"/>
      <c r="AXB39" s="6"/>
      <c r="AXC39" s="6"/>
      <c r="AXD39" s="6"/>
      <c r="AXE39" s="6"/>
      <c r="AXF39" s="6"/>
      <c r="AXG39" s="6"/>
      <c r="AXH39" s="6"/>
      <c r="AXI39" s="6"/>
      <c r="AXJ39" s="6"/>
      <c r="AXK39" s="6"/>
      <c r="AXL39" s="6"/>
      <c r="AXM39" s="6"/>
      <c r="AXN39" s="6"/>
      <c r="AXO39" s="6"/>
      <c r="AXP39" s="6"/>
      <c r="AXQ39" s="6"/>
      <c r="AXR39" s="6"/>
      <c r="AXS39" s="6"/>
      <c r="AXT39" s="6"/>
      <c r="AXU39" s="6"/>
      <c r="AXV39" s="6"/>
      <c r="AXW39" s="6"/>
      <c r="AXX39" s="6"/>
      <c r="AXY39" s="6"/>
      <c r="AXZ39" s="6"/>
      <c r="AYA39" s="6"/>
      <c r="AYB39" s="6"/>
      <c r="AYC39" s="6"/>
      <c r="AYD39" s="6"/>
      <c r="AYE39" s="6"/>
      <c r="AYF39" s="6"/>
      <c r="AYG39" s="6"/>
      <c r="AYH39" s="6"/>
      <c r="AYI39" s="6"/>
      <c r="AYJ39" s="6"/>
      <c r="AYK39" s="6"/>
      <c r="AYL39" s="6"/>
      <c r="AYM39" s="6"/>
      <c r="AYN39" s="6"/>
      <c r="AYO39" s="6"/>
      <c r="AYP39" s="6"/>
      <c r="AYQ39" s="6"/>
      <c r="AYR39" s="6"/>
      <c r="AYS39" s="6"/>
      <c r="AYT39" s="6"/>
      <c r="AYU39" s="6"/>
      <c r="AYV39" s="6"/>
      <c r="AYW39" s="6"/>
      <c r="AYX39" s="6"/>
      <c r="AYY39" s="6"/>
      <c r="AYZ39" s="6"/>
      <c r="AZA39" s="6"/>
      <c r="AZB39" s="6"/>
      <c r="AZC39" s="6"/>
      <c r="AZD39" s="6"/>
      <c r="AZE39" s="6"/>
      <c r="AZF39" s="6"/>
      <c r="AZG39" s="6"/>
      <c r="AZH39" s="6"/>
      <c r="AZI39" s="6"/>
      <c r="AZJ39" s="6"/>
      <c r="AZK39" s="6"/>
      <c r="AZL39" s="6"/>
      <c r="AZM39" s="6"/>
      <c r="AZN39" s="6"/>
      <c r="AZO39" s="6"/>
      <c r="AZP39" s="6"/>
      <c r="AZQ39" s="6"/>
      <c r="AZR39" s="6"/>
      <c r="AZS39" s="6"/>
      <c r="AZT39" s="6"/>
      <c r="AZU39" s="6"/>
      <c r="AZV39" s="6"/>
      <c r="AZW39" s="6"/>
      <c r="AZX39" s="6"/>
      <c r="AZY39" s="6"/>
      <c r="AZZ39" s="6"/>
      <c r="BAA39" s="6"/>
      <c r="BAB39" s="6"/>
      <c r="BAC39" s="6"/>
      <c r="BAD39" s="6"/>
      <c r="BAE39" s="6"/>
      <c r="BAF39" s="6"/>
      <c r="BAG39" s="6"/>
      <c r="BAH39" s="6"/>
      <c r="BAI39" s="6"/>
      <c r="BAJ39" s="6"/>
      <c r="BAK39" s="6"/>
      <c r="BAL39" s="6"/>
      <c r="BAM39" s="6"/>
      <c r="BAN39" s="6"/>
      <c r="BAO39" s="6"/>
      <c r="BAP39" s="6"/>
      <c r="BAQ39" s="6"/>
      <c r="BAR39" s="6"/>
      <c r="BAS39" s="6"/>
      <c r="BAT39" s="6"/>
      <c r="BAU39" s="6"/>
      <c r="BAV39" s="6"/>
      <c r="BAW39" s="6"/>
      <c r="BAX39" s="6"/>
      <c r="BAY39" s="6"/>
      <c r="BAZ39" s="6"/>
      <c r="BBA39" s="6"/>
      <c r="BBB39" s="6"/>
      <c r="BBC39" s="6"/>
      <c r="BBD39" s="6"/>
      <c r="BBE39" s="6"/>
      <c r="BBF39" s="6"/>
      <c r="BBG39" s="6"/>
      <c r="BBH39" s="6"/>
      <c r="BBI39" s="6"/>
      <c r="BBJ39" s="6"/>
      <c r="BBK39" s="6"/>
      <c r="BBL39" s="6"/>
      <c r="BBM39" s="6"/>
      <c r="BBN39" s="6"/>
      <c r="BBO39" s="6"/>
      <c r="BBP39" s="6"/>
      <c r="BBQ39" s="6"/>
      <c r="BBR39" s="6"/>
      <c r="BBS39" s="6"/>
      <c r="BBT39" s="6"/>
      <c r="BBU39" s="6"/>
      <c r="BBV39" s="6"/>
      <c r="BBW39" s="6"/>
      <c r="BBX39" s="6"/>
      <c r="BBY39" s="6"/>
      <c r="BBZ39" s="6"/>
      <c r="BCA39" s="6"/>
      <c r="BCB39" s="6"/>
      <c r="BCC39" s="6"/>
      <c r="BCD39" s="6"/>
      <c r="BCE39" s="6"/>
      <c r="BCF39" s="6"/>
      <c r="BCG39" s="6"/>
      <c r="BCH39" s="6"/>
      <c r="BCI39" s="6"/>
      <c r="BCJ39" s="6"/>
      <c r="BCK39" s="6"/>
      <c r="BCL39" s="6"/>
      <c r="BCM39" s="6"/>
      <c r="BCN39" s="6"/>
      <c r="BCO39" s="6"/>
      <c r="BCP39" s="6"/>
      <c r="BCQ39" s="6"/>
      <c r="BCR39" s="6"/>
      <c r="BCS39" s="6"/>
      <c r="BCT39" s="6"/>
      <c r="BCU39" s="6"/>
      <c r="BCV39" s="6"/>
      <c r="BCW39" s="6"/>
      <c r="BCX39" s="6"/>
      <c r="BCY39" s="6"/>
      <c r="BCZ39" s="6"/>
      <c r="BDA39" s="6"/>
      <c r="BDB39" s="6"/>
      <c r="BDC39" s="6"/>
      <c r="BDD39" s="6"/>
      <c r="BDE39" s="6"/>
      <c r="BDF39" s="6"/>
      <c r="BDG39" s="6"/>
      <c r="BDH39" s="6"/>
      <c r="BDI39" s="6"/>
      <c r="BDJ39" s="6"/>
      <c r="BDK39" s="6"/>
      <c r="BDL39" s="6"/>
      <c r="BDM39" s="6"/>
      <c r="BDN39" s="6"/>
      <c r="BDO39" s="6"/>
      <c r="BDP39" s="6"/>
      <c r="BDQ39" s="6"/>
      <c r="BDR39" s="6"/>
      <c r="BDS39" s="6"/>
      <c r="BDT39" s="6"/>
      <c r="BDU39" s="6"/>
      <c r="BDV39" s="6"/>
      <c r="BDW39" s="6"/>
      <c r="BDX39" s="6"/>
      <c r="BDY39" s="6"/>
      <c r="BDZ39" s="6"/>
      <c r="BEA39" s="6"/>
      <c r="BEB39" s="6"/>
      <c r="BEC39" s="6"/>
      <c r="BED39" s="6"/>
      <c r="BEE39" s="6"/>
      <c r="BEF39" s="6"/>
      <c r="BEG39" s="6"/>
      <c r="BEH39" s="6"/>
      <c r="BEI39" s="6"/>
      <c r="BEJ39" s="6"/>
      <c r="BEK39" s="6"/>
      <c r="BEL39" s="6"/>
      <c r="BEM39" s="6"/>
      <c r="BEN39" s="6"/>
      <c r="BEO39" s="6"/>
      <c r="BEP39" s="6"/>
      <c r="BEQ39" s="6"/>
      <c r="BER39" s="6"/>
      <c r="BES39" s="6"/>
      <c r="BET39" s="6"/>
      <c r="BEU39" s="6"/>
      <c r="BEV39" s="6"/>
      <c r="BEW39" s="6"/>
      <c r="BEX39" s="6"/>
      <c r="BEY39" s="6"/>
      <c r="BEZ39" s="6"/>
      <c r="BFA39" s="6"/>
      <c r="BFB39" s="6"/>
      <c r="BFC39" s="6"/>
      <c r="BFD39" s="6"/>
      <c r="BFE39" s="6"/>
      <c r="BFF39" s="6"/>
      <c r="BFG39" s="6"/>
      <c r="BFH39" s="6"/>
      <c r="BFI39" s="6"/>
      <c r="BFJ39" s="6"/>
      <c r="BFK39" s="6"/>
      <c r="BFL39" s="6"/>
      <c r="BFM39" s="6"/>
      <c r="BFN39" s="6"/>
      <c r="BFO39" s="6"/>
      <c r="BFP39" s="6"/>
      <c r="BFQ39" s="6"/>
      <c r="BFR39" s="6"/>
      <c r="BFS39" s="6"/>
      <c r="BFT39" s="6"/>
      <c r="BFU39" s="6"/>
      <c r="BFV39" s="6"/>
      <c r="BFW39" s="6"/>
      <c r="BFX39" s="6"/>
      <c r="BFY39" s="6"/>
      <c r="BFZ39" s="6"/>
      <c r="BGA39" s="6"/>
      <c r="BGB39" s="6"/>
      <c r="BGC39" s="6"/>
      <c r="BGD39" s="6"/>
      <c r="BGE39" s="6"/>
      <c r="BGF39" s="6"/>
      <c r="BGG39" s="6"/>
      <c r="BGH39" s="6"/>
      <c r="BGI39" s="6"/>
      <c r="BGJ39" s="6"/>
      <c r="BGK39" s="6"/>
      <c r="BGL39" s="6"/>
      <c r="BGM39" s="6"/>
      <c r="BGN39" s="6"/>
      <c r="BGO39" s="6"/>
      <c r="BGP39" s="6"/>
      <c r="BGQ39" s="6"/>
      <c r="BGR39" s="6"/>
      <c r="BGS39" s="6"/>
      <c r="BGT39" s="6"/>
      <c r="BGU39" s="6"/>
      <c r="BGV39" s="6"/>
      <c r="BGW39" s="6"/>
      <c r="BGX39" s="6"/>
      <c r="BGY39" s="6"/>
      <c r="BGZ39" s="6"/>
      <c r="BHA39" s="6"/>
      <c r="BHB39" s="6"/>
      <c r="BHC39" s="6"/>
      <c r="BHD39" s="6"/>
      <c r="BHE39" s="6"/>
      <c r="BHF39" s="6"/>
      <c r="BHG39" s="6"/>
      <c r="BHH39" s="6"/>
      <c r="BHI39" s="6"/>
      <c r="BHJ39" s="6"/>
      <c r="BHK39" s="6"/>
      <c r="BHL39" s="6"/>
      <c r="BHM39" s="6"/>
      <c r="BHN39" s="6"/>
      <c r="BHO39" s="6"/>
      <c r="BHP39" s="6"/>
      <c r="BHQ39" s="6"/>
      <c r="BHR39" s="6"/>
      <c r="BHS39" s="6"/>
      <c r="BHT39" s="6"/>
      <c r="BHU39" s="6"/>
      <c r="BHV39" s="6"/>
      <c r="BHW39" s="6"/>
      <c r="BHX39" s="6"/>
      <c r="BHY39" s="6"/>
      <c r="BHZ39" s="6"/>
      <c r="BIA39" s="6"/>
      <c r="BIB39" s="6"/>
      <c r="BIC39" s="6"/>
      <c r="BID39" s="6"/>
      <c r="BIE39" s="6"/>
      <c r="BIF39" s="6"/>
      <c r="BIG39" s="6"/>
      <c r="BIH39" s="6"/>
      <c r="BII39" s="6"/>
      <c r="BIJ39" s="6"/>
      <c r="BIK39" s="6"/>
      <c r="BIL39" s="6"/>
      <c r="BIM39" s="6"/>
      <c r="BIN39" s="6"/>
      <c r="BIO39" s="6"/>
      <c r="BIP39" s="6"/>
      <c r="BIQ39" s="6"/>
      <c r="BIR39" s="6"/>
      <c r="BIS39" s="6"/>
      <c r="BIT39" s="6"/>
      <c r="BIU39" s="6"/>
      <c r="BIV39" s="6"/>
      <c r="BIW39" s="6"/>
      <c r="BIX39" s="6"/>
      <c r="BIY39" s="6"/>
      <c r="BIZ39" s="6"/>
      <c r="BJA39" s="6"/>
      <c r="BJB39" s="6"/>
      <c r="BJC39" s="6"/>
      <c r="BJD39" s="6"/>
      <c r="BJE39" s="6"/>
      <c r="BJF39" s="6"/>
      <c r="BJG39" s="6"/>
      <c r="BJH39" s="6"/>
      <c r="BJI39" s="6"/>
      <c r="BJJ39" s="6"/>
      <c r="BJK39" s="6"/>
      <c r="BJL39" s="6"/>
      <c r="BJM39" s="6"/>
      <c r="BJN39" s="6"/>
      <c r="BJO39" s="6"/>
      <c r="BJP39" s="6"/>
      <c r="BJQ39" s="6"/>
      <c r="BJR39" s="6"/>
      <c r="BJS39" s="6"/>
      <c r="BJT39" s="6"/>
      <c r="BJU39" s="6"/>
      <c r="BJV39" s="6"/>
      <c r="BJW39" s="6"/>
      <c r="BJX39" s="6"/>
      <c r="BJY39" s="6"/>
      <c r="BJZ39" s="6"/>
      <c r="BKA39" s="6"/>
      <c r="BKB39" s="6"/>
      <c r="BKC39" s="6"/>
      <c r="BKD39" s="6"/>
      <c r="BKE39" s="6"/>
      <c r="BKF39" s="6"/>
      <c r="BKG39" s="6"/>
      <c r="BKH39" s="6"/>
      <c r="BKI39" s="6"/>
      <c r="BKJ39" s="6"/>
      <c r="BKK39" s="6"/>
      <c r="BKL39" s="6"/>
      <c r="BKM39" s="6"/>
      <c r="BKN39" s="6"/>
      <c r="BKO39" s="6"/>
      <c r="BKP39" s="6"/>
      <c r="BKQ39" s="6"/>
      <c r="BKR39" s="6"/>
      <c r="BKS39" s="6"/>
      <c r="BKT39" s="6"/>
      <c r="BKU39" s="6"/>
      <c r="BKV39" s="6"/>
      <c r="BKW39" s="6"/>
      <c r="BKX39" s="6"/>
      <c r="BKY39" s="6"/>
      <c r="BKZ39" s="6"/>
      <c r="BLA39" s="6"/>
      <c r="BLB39" s="6"/>
      <c r="BLC39" s="6"/>
      <c r="BLD39" s="6"/>
      <c r="BLE39" s="6"/>
      <c r="BLF39" s="6"/>
      <c r="BLG39" s="6"/>
      <c r="BLH39" s="6"/>
      <c r="BLI39" s="6"/>
      <c r="BLJ39" s="6"/>
      <c r="BLK39" s="6"/>
      <c r="BLL39" s="6"/>
      <c r="BLM39" s="6"/>
      <c r="BLN39" s="6"/>
      <c r="BLO39" s="6"/>
      <c r="BLP39" s="6"/>
      <c r="BLQ39" s="6"/>
      <c r="BLR39" s="6"/>
      <c r="BLS39" s="6"/>
      <c r="BLT39" s="6"/>
      <c r="BLU39" s="6"/>
      <c r="BLV39" s="6"/>
      <c r="BLW39" s="6"/>
      <c r="BLX39" s="6"/>
      <c r="BLY39" s="6"/>
      <c r="BLZ39" s="6"/>
      <c r="BMA39" s="6"/>
      <c r="BMB39" s="6"/>
      <c r="BMC39" s="6"/>
      <c r="BMD39" s="6"/>
      <c r="BME39" s="6"/>
      <c r="BMF39" s="6"/>
      <c r="BMG39" s="6"/>
      <c r="BMH39" s="6"/>
      <c r="BMI39" s="6"/>
      <c r="BMJ39" s="6"/>
      <c r="BMK39" s="6"/>
      <c r="BML39" s="6"/>
      <c r="BMM39" s="6"/>
      <c r="BMN39" s="6"/>
      <c r="BMO39" s="6"/>
      <c r="BMP39" s="6"/>
      <c r="BMQ39" s="6"/>
      <c r="BMR39" s="6"/>
      <c r="BMS39" s="6"/>
      <c r="BMT39" s="6"/>
      <c r="BMU39" s="6"/>
      <c r="BMV39" s="6"/>
      <c r="BMW39" s="6"/>
      <c r="BMX39" s="6"/>
      <c r="BMY39" s="6"/>
      <c r="BMZ39" s="6"/>
      <c r="BNA39" s="6"/>
      <c r="BNB39" s="6"/>
      <c r="BNC39" s="6"/>
      <c r="BND39" s="6"/>
      <c r="BNE39" s="6"/>
      <c r="BNF39" s="6"/>
      <c r="BNG39" s="6"/>
      <c r="BNH39" s="6"/>
      <c r="BNI39" s="6"/>
      <c r="BNJ39" s="6"/>
      <c r="BNK39" s="6"/>
      <c r="BNL39" s="6"/>
      <c r="BNM39" s="6"/>
      <c r="BNN39" s="6"/>
      <c r="BNO39" s="6"/>
      <c r="BNP39" s="6"/>
      <c r="BNQ39" s="6"/>
      <c r="BNR39" s="6"/>
      <c r="BNS39" s="6"/>
      <c r="BNT39" s="6"/>
      <c r="BNU39" s="6"/>
      <c r="BNV39" s="6"/>
      <c r="BNW39" s="6"/>
      <c r="BNX39" s="6"/>
      <c r="BNY39" s="6"/>
      <c r="BNZ39" s="6"/>
      <c r="BOA39" s="6"/>
      <c r="BOB39" s="6"/>
      <c r="BOC39" s="6"/>
      <c r="BOD39" s="6"/>
      <c r="BOE39" s="6"/>
      <c r="BOF39" s="6"/>
      <c r="BOG39" s="6"/>
      <c r="BOH39" s="6"/>
      <c r="BOI39" s="6"/>
      <c r="BOJ39" s="6"/>
      <c r="BOK39" s="6"/>
      <c r="BOL39" s="6"/>
      <c r="BOM39" s="6"/>
      <c r="BON39" s="6"/>
      <c r="BOO39" s="6"/>
      <c r="BOP39" s="6"/>
      <c r="BOQ39" s="6"/>
      <c r="BOR39" s="6"/>
      <c r="BOS39" s="6"/>
      <c r="BOT39" s="6"/>
      <c r="BOU39" s="6"/>
      <c r="BOV39" s="6"/>
      <c r="BOW39" s="6"/>
      <c r="BOX39" s="6"/>
      <c r="BOY39" s="6"/>
      <c r="BOZ39" s="6"/>
      <c r="BPA39" s="6"/>
      <c r="BPB39" s="6"/>
      <c r="BPC39" s="6"/>
      <c r="BPD39" s="6"/>
      <c r="BPE39" s="6"/>
      <c r="BPF39" s="6"/>
      <c r="BPG39" s="6"/>
      <c r="BPH39" s="6"/>
      <c r="BPI39" s="6"/>
      <c r="BPJ39" s="6"/>
      <c r="BPK39" s="6"/>
      <c r="BPL39" s="6"/>
      <c r="BPM39" s="6"/>
      <c r="BPN39" s="6"/>
      <c r="BPO39" s="6"/>
      <c r="BPP39" s="6"/>
      <c r="BPQ39" s="6"/>
      <c r="BPR39" s="6"/>
      <c r="BPS39" s="6"/>
      <c r="BPT39" s="6"/>
      <c r="BPU39" s="6"/>
      <c r="BPV39" s="6"/>
      <c r="BPW39" s="6"/>
      <c r="BPX39" s="6"/>
      <c r="BPY39" s="6"/>
      <c r="BPZ39" s="6"/>
      <c r="BQA39" s="6"/>
      <c r="BQB39" s="6"/>
      <c r="BQC39" s="6"/>
      <c r="BQD39" s="6"/>
      <c r="BQE39" s="6"/>
      <c r="BQF39" s="6"/>
      <c r="BQG39" s="6"/>
      <c r="BQH39" s="6"/>
      <c r="BQI39" s="6"/>
      <c r="BQJ39" s="6"/>
      <c r="BQK39" s="6"/>
      <c r="BQL39" s="6"/>
      <c r="BQM39" s="6"/>
      <c r="BQN39" s="6"/>
      <c r="BQO39" s="6"/>
      <c r="BQP39" s="6"/>
      <c r="BQQ39" s="6"/>
      <c r="BQR39" s="6"/>
      <c r="BQS39" s="6"/>
      <c r="BQT39" s="6"/>
      <c r="BQU39" s="6"/>
      <c r="BQV39" s="6"/>
      <c r="BQW39" s="6"/>
      <c r="BQX39" s="6"/>
      <c r="BQY39" s="6"/>
      <c r="BQZ39" s="6"/>
      <c r="BRA39" s="6"/>
      <c r="BRB39" s="6"/>
      <c r="BRC39" s="6"/>
      <c r="BRD39" s="6"/>
      <c r="BRE39" s="6"/>
      <c r="BRF39" s="6"/>
      <c r="BRG39" s="6"/>
      <c r="BRH39" s="6"/>
      <c r="BRI39" s="6"/>
      <c r="BRJ39" s="6"/>
      <c r="BRK39" s="6"/>
      <c r="BRL39" s="6"/>
      <c r="BRM39" s="6"/>
      <c r="BRN39" s="6"/>
      <c r="BRO39" s="6"/>
      <c r="BRP39" s="6"/>
      <c r="BRQ39" s="6"/>
      <c r="BRR39" s="6"/>
      <c r="BRS39" s="6"/>
      <c r="BRT39" s="6"/>
      <c r="BRU39" s="6"/>
      <c r="BRV39" s="6"/>
      <c r="BRW39" s="6"/>
      <c r="BRX39" s="6"/>
      <c r="BRY39" s="6"/>
      <c r="BRZ39" s="6"/>
      <c r="BSA39" s="6"/>
      <c r="BSB39" s="6"/>
      <c r="BSC39" s="6"/>
      <c r="BSD39" s="6"/>
      <c r="BSE39" s="6"/>
      <c r="BSF39" s="6"/>
      <c r="BSG39" s="6"/>
      <c r="BSH39" s="6"/>
      <c r="BSI39" s="6"/>
      <c r="BSJ39" s="6"/>
      <c r="BSK39" s="6"/>
      <c r="BSL39" s="6"/>
      <c r="BSM39" s="6"/>
      <c r="BSN39" s="6"/>
      <c r="BSO39" s="6"/>
      <c r="BSP39" s="6"/>
      <c r="BSQ39" s="6"/>
      <c r="BSR39" s="6"/>
      <c r="BSS39" s="6"/>
      <c r="BST39" s="6"/>
      <c r="BSU39" s="6"/>
      <c r="BSV39" s="6"/>
      <c r="BSW39" s="6"/>
      <c r="BSX39" s="6"/>
      <c r="BSY39" s="6"/>
      <c r="BSZ39" s="6"/>
      <c r="BTA39" s="6"/>
      <c r="BTB39" s="6"/>
      <c r="BTC39" s="6"/>
      <c r="BTD39" s="6"/>
      <c r="BTE39" s="6"/>
      <c r="BTF39" s="6"/>
      <c r="BTG39" s="6"/>
      <c r="BTH39" s="6"/>
      <c r="BTI39" s="6"/>
      <c r="BTJ39" s="6"/>
      <c r="BTK39" s="6"/>
      <c r="BTL39" s="6"/>
      <c r="BTM39" s="6"/>
      <c r="BTN39" s="6"/>
      <c r="BTO39" s="6"/>
      <c r="BTP39" s="6"/>
      <c r="BTQ39" s="6"/>
      <c r="BTR39" s="6"/>
      <c r="BTS39" s="6"/>
      <c r="BTT39" s="6"/>
      <c r="BTU39" s="6"/>
      <c r="BTV39" s="6"/>
      <c r="BTW39" s="6"/>
      <c r="BTX39" s="6"/>
      <c r="BTY39" s="6"/>
      <c r="BTZ39" s="6"/>
      <c r="BUA39" s="6"/>
      <c r="BUB39" s="6"/>
      <c r="BUC39" s="6"/>
      <c r="BUD39" s="6"/>
      <c r="BUE39" s="6"/>
      <c r="BUF39" s="6"/>
      <c r="BUG39" s="6"/>
      <c r="BUH39" s="6"/>
      <c r="BUI39" s="6"/>
      <c r="BUJ39" s="6"/>
      <c r="BUK39" s="6"/>
      <c r="BUL39" s="6"/>
      <c r="BUM39" s="6"/>
      <c r="BUN39" s="6"/>
      <c r="BUO39" s="6"/>
      <c r="BUP39" s="6"/>
      <c r="BUQ39" s="6"/>
      <c r="BUR39" s="6"/>
      <c r="BUS39" s="6"/>
      <c r="BUT39" s="6"/>
      <c r="BUU39" s="6"/>
      <c r="BUV39" s="6"/>
      <c r="BUW39" s="6"/>
      <c r="BUX39" s="6"/>
      <c r="BUY39" s="6"/>
      <c r="BUZ39" s="6"/>
      <c r="BVA39" s="6"/>
      <c r="BVB39" s="6"/>
      <c r="BVC39" s="6"/>
      <c r="BVD39" s="6"/>
      <c r="BVE39" s="6"/>
      <c r="BVF39" s="6"/>
      <c r="BVG39" s="6"/>
      <c r="BVH39" s="6"/>
      <c r="BVI39" s="6"/>
      <c r="BVJ39" s="6"/>
      <c r="BVK39" s="6"/>
      <c r="BVL39" s="6"/>
      <c r="BVM39" s="6"/>
      <c r="BVN39" s="6"/>
      <c r="BVO39" s="6"/>
      <c r="BVP39" s="6"/>
      <c r="BVQ39" s="6"/>
      <c r="BVR39" s="6"/>
      <c r="BVS39" s="6"/>
      <c r="BVT39" s="6"/>
      <c r="BVU39" s="6"/>
      <c r="BVV39" s="6"/>
      <c r="BVW39" s="6"/>
      <c r="BVX39" s="6"/>
      <c r="BVY39" s="6"/>
      <c r="BVZ39" s="6"/>
      <c r="BWA39" s="6"/>
      <c r="BWB39" s="6"/>
      <c r="BWC39" s="6"/>
      <c r="BWD39" s="6"/>
      <c r="BWE39" s="6"/>
      <c r="BWF39" s="6"/>
      <c r="BWG39" s="6"/>
      <c r="BWH39" s="6"/>
      <c r="BWI39" s="6"/>
      <c r="BWJ39" s="6"/>
      <c r="BWK39" s="6"/>
      <c r="BWL39" s="6"/>
      <c r="BWM39" s="6"/>
      <c r="BWN39" s="6"/>
      <c r="BWO39" s="6"/>
      <c r="BWP39" s="6"/>
      <c r="BWQ39" s="6"/>
      <c r="BWR39" s="6"/>
      <c r="BWS39" s="6"/>
      <c r="BWT39" s="6"/>
      <c r="BWU39" s="6"/>
      <c r="BWV39" s="6"/>
      <c r="BWW39" s="6"/>
      <c r="BWX39" s="6"/>
      <c r="BWY39" s="6"/>
      <c r="BWZ39" s="6"/>
      <c r="BXA39" s="6"/>
      <c r="BXB39" s="6"/>
      <c r="BXC39" s="6"/>
      <c r="BXD39" s="6"/>
      <c r="BXE39" s="6"/>
      <c r="BXF39" s="6"/>
      <c r="BXG39" s="6"/>
      <c r="BXH39" s="6"/>
      <c r="BXI39" s="6"/>
      <c r="BXJ39" s="6"/>
      <c r="BXK39" s="6"/>
      <c r="BXL39" s="6"/>
      <c r="BXM39" s="6"/>
      <c r="BXN39" s="6"/>
      <c r="BXO39" s="6"/>
      <c r="BXP39" s="6"/>
      <c r="BXQ39" s="6"/>
      <c r="BXR39" s="6"/>
      <c r="BXS39" s="6"/>
      <c r="BXT39" s="6"/>
      <c r="BXU39" s="6"/>
      <c r="BXV39" s="6"/>
      <c r="BXW39" s="6"/>
      <c r="BXX39" s="6"/>
      <c r="BXY39" s="6"/>
      <c r="BXZ39" s="6"/>
      <c r="BYA39" s="6"/>
      <c r="BYB39" s="6"/>
      <c r="BYC39" s="6"/>
      <c r="BYD39" s="6"/>
      <c r="BYE39" s="6"/>
      <c r="BYF39" s="6"/>
      <c r="BYG39" s="6"/>
      <c r="BYH39" s="6"/>
      <c r="BYI39" s="6"/>
      <c r="BYJ39" s="6"/>
      <c r="BYK39" s="6"/>
      <c r="BYL39" s="6"/>
      <c r="BYM39" s="6"/>
      <c r="BYN39" s="6"/>
      <c r="BYO39" s="6"/>
      <c r="BYP39" s="6"/>
      <c r="BYQ39" s="6"/>
      <c r="BYR39" s="6"/>
      <c r="BYS39" s="6"/>
      <c r="BYT39" s="6"/>
      <c r="BYU39" s="6"/>
      <c r="BYV39" s="6"/>
      <c r="BYW39" s="6"/>
      <c r="BYX39" s="6"/>
      <c r="BYY39" s="6"/>
      <c r="BYZ39" s="6"/>
      <c r="BZA39" s="6"/>
      <c r="BZB39" s="6"/>
      <c r="BZC39" s="6"/>
      <c r="BZD39" s="6"/>
      <c r="BZE39" s="6"/>
      <c r="BZF39" s="6"/>
      <c r="BZG39" s="6"/>
      <c r="BZH39" s="6"/>
      <c r="BZI39" s="6"/>
      <c r="BZJ39" s="6"/>
      <c r="BZK39" s="6"/>
      <c r="BZL39" s="6"/>
      <c r="BZM39" s="6"/>
      <c r="BZN39" s="6"/>
      <c r="BZO39" s="6"/>
      <c r="BZP39" s="6"/>
      <c r="BZQ39" s="6"/>
      <c r="BZR39" s="6"/>
      <c r="BZS39" s="6"/>
      <c r="BZT39" s="6"/>
      <c r="BZU39" s="6"/>
      <c r="BZV39" s="6"/>
      <c r="BZW39" s="6"/>
      <c r="BZX39" s="6"/>
      <c r="BZY39" s="6"/>
      <c r="BZZ39" s="6"/>
      <c r="CAA39" s="6"/>
      <c r="CAB39" s="6"/>
      <c r="CAC39" s="6"/>
      <c r="CAD39" s="6"/>
      <c r="CAE39" s="6"/>
      <c r="CAF39" s="6"/>
      <c r="CAG39" s="6"/>
      <c r="CAH39" s="6"/>
      <c r="CAI39" s="6"/>
      <c r="CAJ39" s="6"/>
      <c r="CAK39" s="6"/>
      <c r="CAL39" s="6"/>
      <c r="CAM39" s="6"/>
      <c r="CAN39" s="6"/>
      <c r="CAO39" s="6"/>
      <c r="CAP39" s="6"/>
      <c r="CAQ39" s="6"/>
      <c r="CAR39" s="6"/>
      <c r="CAS39" s="6"/>
      <c r="CAT39" s="6"/>
      <c r="CAU39" s="6"/>
      <c r="CAV39" s="6"/>
      <c r="CAW39" s="6"/>
      <c r="CAX39" s="6"/>
      <c r="CAY39" s="6"/>
      <c r="CAZ39" s="6"/>
      <c r="CBA39" s="6"/>
      <c r="CBB39" s="6"/>
      <c r="CBC39" s="6"/>
      <c r="CBD39" s="6"/>
      <c r="CBE39" s="6"/>
      <c r="CBF39" s="6"/>
      <c r="CBG39" s="6"/>
      <c r="CBH39" s="6"/>
      <c r="CBI39" s="6"/>
      <c r="CBJ39" s="6"/>
      <c r="CBK39" s="6"/>
      <c r="CBL39" s="6"/>
      <c r="CBM39" s="6"/>
      <c r="CBN39" s="6"/>
      <c r="CBO39" s="6"/>
      <c r="CBP39" s="6"/>
      <c r="CBQ39" s="6"/>
      <c r="CBR39" s="6"/>
      <c r="CBS39" s="6"/>
      <c r="CBT39" s="6"/>
      <c r="CBU39" s="6"/>
      <c r="CBV39" s="6"/>
      <c r="CBW39" s="6"/>
      <c r="CBX39" s="6"/>
      <c r="CBY39" s="6"/>
      <c r="CBZ39" s="6"/>
      <c r="CCA39" s="6"/>
      <c r="CCB39" s="6"/>
      <c r="CCC39" s="6"/>
      <c r="CCD39" s="6"/>
      <c r="CCE39" s="6"/>
      <c r="CCF39" s="6"/>
      <c r="CCG39" s="6"/>
      <c r="CCH39" s="6"/>
      <c r="CCI39" s="6"/>
      <c r="CCJ39" s="6"/>
      <c r="CCK39" s="6"/>
      <c r="CCL39" s="6"/>
      <c r="CCM39" s="6"/>
      <c r="CCN39" s="6"/>
      <c r="CCO39" s="6"/>
      <c r="CCP39" s="6"/>
      <c r="CCQ39" s="6"/>
      <c r="CCR39" s="6"/>
      <c r="CCS39" s="6"/>
      <c r="CCT39" s="6"/>
      <c r="CCU39" s="6"/>
      <c r="CCV39" s="6"/>
      <c r="CCW39" s="6"/>
      <c r="CCX39" s="6"/>
      <c r="CCY39" s="6"/>
      <c r="CCZ39" s="6"/>
      <c r="CDA39" s="6"/>
      <c r="CDB39" s="6"/>
      <c r="CDC39" s="6"/>
      <c r="CDD39" s="6"/>
      <c r="CDE39" s="6"/>
      <c r="CDF39" s="6"/>
      <c r="CDG39" s="6"/>
      <c r="CDH39" s="6"/>
      <c r="CDI39" s="6"/>
      <c r="CDJ39" s="6"/>
      <c r="CDK39" s="6"/>
      <c r="CDL39" s="6"/>
      <c r="CDM39" s="6"/>
      <c r="CDN39" s="6"/>
      <c r="CDO39" s="6"/>
      <c r="CDP39" s="6"/>
      <c r="CDQ39" s="6"/>
      <c r="CDR39" s="6"/>
      <c r="CDS39" s="6"/>
      <c r="CDT39" s="6"/>
      <c r="CDU39" s="6"/>
      <c r="CDV39" s="6"/>
      <c r="CDW39" s="6"/>
      <c r="CDX39" s="6"/>
      <c r="CDY39" s="6"/>
      <c r="CDZ39" s="6"/>
      <c r="CEA39" s="6"/>
      <c r="CEB39" s="6"/>
      <c r="CEC39" s="6"/>
      <c r="CED39" s="6"/>
      <c r="CEE39" s="6"/>
      <c r="CEF39" s="6"/>
      <c r="CEG39" s="6"/>
      <c r="CEH39" s="6"/>
      <c r="CEI39" s="6"/>
      <c r="CEJ39" s="6"/>
      <c r="CEK39" s="6"/>
      <c r="CEL39" s="6"/>
      <c r="CEM39" s="6"/>
      <c r="CEN39" s="6"/>
      <c r="CEO39" s="6"/>
      <c r="CEP39" s="6"/>
      <c r="CEQ39" s="6"/>
      <c r="CER39" s="6"/>
      <c r="CES39" s="6"/>
      <c r="CET39" s="6"/>
      <c r="CEU39" s="6"/>
      <c r="CEV39" s="6"/>
      <c r="CEW39" s="6"/>
      <c r="CEX39" s="6"/>
      <c r="CEY39" s="6"/>
      <c r="CEZ39" s="6"/>
      <c r="CFA39" s="6"/>
      <c r="CFB39" s="6"/>
      <c r="CFC39" s="6"/>
      <c r="CFD39" s="6"/>
      <c r="CFE39" s="6"/>
      <c r="CFF39" s="6"/>
      <c r="CFG39" s="6"/>
      <c r="CFH39" s="6"/>
      <c r="CFI39" s="6"/>
      <c r="CFJ39" s="6"/>
      <c r="CFK39" s="6"/>
      <c r="CFL39" s="6"/>
      <c r="CFM39" s="6"/>
      <c r="CFN39" s="6"/>
      <c r="CFO39" s="6"/>
      <c r="CFP39" s="6"/>
      <c r="CFQ39" s="6"/>
      <c r="CFR39" s="6"/>
      <c r="CFS39" s="6"/>
      <c r="CFT39" s="6"/>
      <c r="CFU39" s="6"/>
      <c r="CFV39" s="6"/>
      <c r="CFW39" s="6"/>
      <c r="CFX39" s="6"/>
      <c r="CFY39" s="6"/>
      <c r="CFZ39" s="6"/>
      <c r="CGA39" s="6"/>
      <c r="CGB39" s="6"/>
      <c r="CGC39" s="6"/>
      <c r="CGD39" s="6"/>
      <c r="CGE39" s="6"/>
      <c r="CGF39" s="6"/>
      <c r="CGG39" s="6"/>
      <c r="CGH39" s="6"/>
      <c r="CGI39" s="6"/>
      <c r="CGJ39" s="6"/>
      <c r="CGK39" s="6"/>
      <c r="CGL39" s="6"/>
      <c r="CGM39" s="6"/>
      <c r="CGN39" s="6"/>
      <c r="CGO39" s="6"/>
      <c r="CGP39" s="6"/>
      <c r="CGQ39" s="6"/>
      <c r="CGR39" s="6"/>
      <c r="CGS39" s="6"/>
      <c r="CGT39" s="6"/>
      <c r="CGU39" s="6"/>
      <c r="CGV39" s="6"/>
      <c r="CGW39" s="6"/>
      <c r="CGX39" s="6"/>
      <c r="CGY39" s="6"/>
      <c r="CGZ39" s="6"/>
      <c r="CHA39" s="6"/>
      <c r="CHB39" s="6"/>
      <c r="CHC39" s="6"/>
      <c r="CHD39" s="6"/>
      <c r="CHE39" s="6"/>
      <c r="CHF39" s="6"/>
      <c r="CHG39" s="6"/>
      <c r="CHH39" s="6"/>
      <c r="CHI39" s="6"/>
      <c r="CHJ39" s="6"/>
      <c r="CHK39" s="6"/>
      <c r="CHL39" s="6"/>
      <c r="CHM39" s="6"/>
      <c r="CHN39" s="6"/>
      <c r="CHO39" s="6"/>
      <c r="CHP39" s="6"/>
      <c r="CHQ39" s="6"/>
      <c r="CHR39" s="6"/>
      <c r="CHS39" s="6"/>
      <c r="CHT39" s="6"/>
      <c r="CHU39" s="6"/>
      <c r="CHV39" s="6"/>
      <c r="CHW39" s="6"/>
      <c r="CHX39" s="6"/>
      <c r="CHY39" s="6"/>
      <c r="CHZ39" s="6"/>
      <c r="CIA39" s="6"/>
      <c r="CIB39" s="6"/>
      <c r="CIC39" s="6"/>
      <c r="CID39" s="6"/>
      <c r="CIE39" s="6"/>
      <c r="CIF39" s="6"/>
      <c r="CIG39" s="6"/>
      <c r="CIH39" s="6"/>
      <c r="CII39" s="6"/>
      <c r="CIJ39" s="6"/>
      <c r="CIK39" s="6"/>
      <c r="CIL39" s="6"/>
      <c r="CIM39" s="6"/>
      <c r="CIN39" s="6"/>
      <c r="CIO39" s="6"/>
      <c r="CIP39" s="6"/>
      <c r="CIQ39" s="6"/>
      <c r="CIR39" s="6"/>
      <c r="CIS39" s="6"/>
      <c r="CIT39" s="6"/>
      <c r="CIU39" s="6"/>
      <c r="CIV39" s="6"/>
      <c r="CIW39" s="6"/>
      <c r="CIX39" s="6"/>
      <c r="CIY39" s="6"/>
      <c r="CIZ39" s="6"/>
      <c r="CJA39" s="6"/>
      <c r="CJB39" s="6"/>
      <c r="CJC39" s="6"/>
      <c r="CJD39" s="6"/>
      <c r="CJE39" s="6"/>
      <c r="CJF39" s="6"/>
      <c r="CJG39" s="6"/>
      <c r="CJH39" s="6"/>
      <c r="CJI39" s="6"/>
      <c r="CJJ39" s="6"/>
      <c r="CJK39" s="6"/>
      <c r="CJL39" s="6"/>
      <c r="CJM39" s="6"/>
      <c r="CJN39" s="6"/>
      <c r="CJO39" s="6"/>
      <c r="CJP39" s="6"/>
      <c r="CJQ39" s="6"/>
      <c r="CJR39" s="6"/>
      <c r="CJS39" s="6"/>
      <c r="CJT39" s="6"/>
      <c r="CJU39" s="6"/>
      <c r="CJV39" s="6"/>
      <c r="CJW39" s="6"/>
      <c r="CJX39" s="6"/>
      <c r="CJY39" s="6"/>
      <c r="CJZ39" s="6"/>
      <c r="CKA39" s="6"/>
      <c r="CKB39" s="6"/>
      <c r="CKC39" s="6"/>
      <c r="CKD39" s="6"/>
      <c r="CKE39" s="6"/>
      <c r="CKF39" s="6"/>
      <c r="CKG39" s="6"/>
      <c r="CKH39" s="6"/>
      <c r="CKI39" s="6"/>
      <c r="CKJ39" s="6"/>
      <c r="CKK39" s="6"/>
      <c r="CKL39" s="6"/>
      <c r="CKM39" s="6"/>
      <c r="CKN39" s="6"/>
      <c r="CKO39" s="6"/>
      <c r="CKP39" s="6"/>
      <c r="CKQ39" s="6"/>
      <c r="CKR39" s="6"/>
      <c r="CKS39" s="6"/>
      <c r="CKT39" s="6"/>
      <c r="CKU39" s="6"/>
      <c r="CKV39" s="6"/>
      <c r="CKW39" s="6"/>
      <c r="CKX39" s="6"/>
      <c r="CKY39" s="6"/>
      <c r="CKZ39" s="6"/>
      <c r="CLA39" s="6"/>
      <c r="CLB39" s="6"/>
      <c r="CLC39" s="6"/>
      <c r="CLD39" s="6"/>
      <c r="CLE39" s="6"/>
      <c r="CLF39" s="6"/>
      <c r="CLG39" s="6"/>
      <c r="CLH39" s="6"/>
      <c r="CLI39" s="6"/>
      <c r="CLJ39" s="6"/>
      <c r="CLK39" s="6"/>
      <c r="CLL39" s="6"/>
      <c r="CLM39" s="6"/>
      <c r="CLN39" s="6"/>
      <c r="CLO39" s="6"/>
      <c r="CLP39" s="6"/>
      <c r="CLQ39" s="6"/>
      <c r="CLR39" s="6"/>
      <c r="CLS39" s="6"/>
      <c r="CLT39" s="6"/>
      <c r="CLU39" s="6"/>
      <c r="CLV39" s="6"/>
      <c r="CLW39" s="6"/>
      <c r="CLX39" s="6"/>
      <c r="CLY39" s="6"/>
      <c r="CLZ39" s="6"/>
      <c r="CMA39" s="6"/>
      <c r="CMB39" s="6"/>
      <c r="CMC39" s="6"/>
      <c r="CMD39" s="6"/>
      <c r="CME39" s="6"/>
      <c r="CMF39" s="6"/>
      <c r="CMG39" s="6"/>
      <c r="CMH39" s="6"/>
      <c r="CMI39" s="6"/>
      <c r="CMJ39" s="6"/>
      <c r="CMK39" s="6"/>
      <c r="CML39" s="6"/>
      <c r="CMM39" s="6"/>
      <c r="CMN39" s="6"/>
      <c r="CMO39" s="6"/>
      <c r="CMP39" s="6"/>
      <c r="CMQ39" s="6"/>
      <c r="CMR39" s="6"/>
      <c r="CMS39" s="6"/>
      <c r="CMT39" s="6"/>
      <c r="CMU39" s="6"/>
      <c r="CMV39" s="6"/>
      <c r="CMW39" s="6"/>
      <c r="CMX39" s="6"/>
      <c r="CMY39" s="6"/>
      <c r="CMZ39" s="6"/>
      <c r="CNA39" s="6"/>
      <c r="CNB39" s="6"/>
      <c r="CNC39" s="6"/>
      <c r="CND39" s="6"/>
      <c r="CNE39" s="6"/>
      <c r="CNF39" s="6"/>
      <c r="CNG39" s="6"/>
      <c r="CNH39" s="6"/>
      <c r="CNI39" s="6"/>
      <c r="CNJ39" s="6"/>
      <c r="CNK39" s="6"/>
      <c r="CNL39" s="6"/>
      <c r="CNM39" s="6"/>
      <c r="CNN39" s="6"/>
      <c r="CNO39" s="6"/>
      <c r="CNP39" s="6"/>
      <c r="CNQ39" s="6"/>
      <c r="CNR39" s="6"/>
      <c r="CNS39" s="6"/>
      <c r="CNT39" s="6"/>
      <c r="CNU39" s="6"/>
      <c r="CNV39" s="6"/>
      <c r="CNW39" s="6"/>
      <c r="CNX39" s="6"/>
      <c r="CNY39" s="6"/>
      <c r="CNZ39" s="6"/>
      <c r="COA39" s="6"/>
      <c r="COB39" s="6"/>
      <c r="COC39" s="6"/>
      <c r="COD39" s="6"/>
      <c r="COE39" s="6"/>
      <c r="COF39" s="6"/>
      <c r="COG39" s="6"/>
      <c r="COH39" s="6"/>
      <c r="COI39" s="6"/>
      <c r="COJ39" s="6"/>
      <c r="COK39" s="6"/>
      <c r="COL39" s="6"/>
      <c r="COM39" s="6"/>
      <c r="CON39" s="6"/>
      <c r="COO39" s="6"/>
      <c r="COP39" s="6"/>
      <c r="COQ39" s="6"/>
      <c r="COR39" s="6"/>
      <c r="COS39" s="6"/>
      <c r="COT39" s="6"/>
      <c r="COU39" s="6"/>
      <c r="COV39" s="6"/>
      <c r="COW39" s="6"/>
      <c r="COX39" s="6"/>
      <c r="COY39" s="6"/>
      <c r="COZ39" s="6"/>
      <c r="CPA39" s="6"/>
      <c r="CPB39" s="6"/>
      <c r="CPC39" s="6"/>
      <c r="CPD39" s="6"/>
      <c r="CPE39" s="6"/>
      <c r="CPF39" s="6"/>
      <c r="CPG39" s="6"/>
      <c r="CPH39" s="6"/>
      <c r="CPI39" s="6"/>
      <c r="CPJ39" s="6"/>
      <c r="CPK39" s="6"/>
      <c r="CPL39" s="6"/>
      <c r="CPM39" s="6"/>
      <c r="CPN39" s="6"/>
      <c r="CPO39" s="6"/>
      <c r="CPP39" s="6"/>
      <c r="CPQ39" s="6"/>
      <c r="CPR39" s="6"/>
      <c r="CPS39" s="6"/>
      <c r="CPT39" s="6"/>
      <c r="CPU39" s="6"/>
      <c r="CPV39" s="6"/>
      <c r="CPW39" s="6"/>
      <c r="CPX39" s="6"/>
      <c r="CPY39" s="6"/>
      <c r="CPZ39" s="6"/>
      <c r="CQA39" s="6"/>
      <c r="CQB39" s="6"/>
      <c r="CQC39" s="6"/>
      <c r="CQD39" s="6"/>
      <c r="CQE39" s="6"/>
      <c r="CQF39" s="6"/>
      <c r="CQG39" s="6"/>
      <c r="CQH39" s="6"/>
      <c r="CQI39" s="6"/>
      <c r="CQJ39" s="6"/>
      <c r="CQK39" s="6"/>
      <c r="CQL39" s="6"/>
      <c r="CQM39" s="6"/>
      <c r="CQN39" s="6"/>
      <c r="CQO39" s="6"/>
      <c r="CQP39" s="6"/>
      <c r="CQQ39" s="6"/>
      <c r="CQR39" s="6"/>
      <c r="CQS39" s="6"/>
      <c r="CQT39" s="6"/>
      <c r="CQU39" s="6"/>
      <c r="CQV39" s="6"/>
      <c r="CQW39" s="6"/>
      <c r="CQX39" s="6"/>
      <c r="CQY39" s="6"/>
      <c r="CQZ39" s="6"/>
      <c r="CRA39" s="6"/>
      <c r="CRB39" s="6"/>
      <c r="CRC39" s="6"/>
      <c r="CRD39" s="6"/>
      <c r="CRE39" s="6"/>
      <c r="CRF39" s="6"/>
      <c r="CRG39" s="6"/>
      <c r="CRH39" s="6"/>
      <c r="CRI39" s="6"/>
      <c r="CRJ39" s="6"/>
      <c r="CRK39" s="6"/>
      <c r="CRL39" s="6"/>
      <c r="CRM39" s="6"/>
      <c r="CRN39" s="6"/>
      <c r="CRO39" s="6"/>
      <c r="CRP39" s="6"/>
      <c r="CRQ39" s="6"/>
      <c r="CRR39" s="6"/>
      <c r="CRS39" s="6"/>
      <c r="CRT39" s="6"/>
      <c r="CRU39" s="6"/>
      <c r="CRV39" s="6"/>
      <c r="CRW39" s="6"/>
      <c r="CRX39" s="6"/>
      <c r="CRY39" s="6"/>
      <c r="CRZ39" s="6"/>
      <c r="CSA39" s="6"/>
      <c r="CSB39" s="6"/>
      <c r="CSC39" s="6"/>
      <c r="CSD39" s="6"/>
      <c r="CSE39" s="6"/>
      <c r="CSF39" s="6"/>
      <c r="CSG39" s="6"/>
      <c r="CSH39" s="6"/>
      <c r="CSI39" s="6"/>
      <c r="CSJ39" s="6"/>
      <c r="CSK39" s="6"/>
      <c r="CSL39" s="6"/>
      <c r="CSM39" s="6"/>
      <c r="CSN39" s="6"/>
      <c r="CSO39" s="6"/>
      <c r="CSP39" s="6"/>
      <c r="CSQ39" s="6"/>
      <c r="CSR39" s="6"/>
      <c r="CSS39" s="6"/>
      <c r="CST39" s="6"/>
      <c r="CSU39" s="6"/>
      <c r="CSV39" s="6"/>
      <c r="CSW39" s="6"/>
      <c r="CSX39" s="6"/>
      <c r="CSY39" s="6"/>
      <c r="CSZ39" s="6"/>
      <c r="CTA39" s="6"/>
      <c r="CTB39" s="6"/>
      <c r="CTC39" s="6"/>
      <c r="CTD39" s="6"/>
      <c r="CTE39" s="6"/>
      <c r="CTF39" s="6"/>
      <c r="CTG39" s="6"/>
      <c r="CTH39" s="6"/>
      <c r="CTI39" s="6"/>
      <c r="CTJ39" s="6"/>
      <c r="CTK39" s="6"/>
      <c r="CTL39" s="6"/>
      <c r="CTM39" s="6"/>
      <c r="CTN39" s="6"/>
      <c r="CTO39" s="6"/>
      <c r="CTP39" s="6"/>
      <c r="CTQ39" s="6"/>
      <c r="CTR39" s="6"/>
      <c r="CTS39" s="6"/>
      <c r="CTT39" s="6"/>
      <c r="CTU39" s="6"/>
      <c r="CTV39" s="6"/>
      <c r="CTW39" s="6"/>
      <c r="CTX39" s="6"/>
      <c r="CTY39" s="6"/>
      <c r="CTZ39" s="6"/>
      <c r="CUA39" s="6"/>
      <c r="CUB39" s="6"/>
      <c r="CUC39" s="6"/>
      <c r="CUD39" s="6"/>
      <c r="CUE39" s="6"/>
      <c r="CUF39" s="6"/>
      <c r="CUG39" s="6"/>
      <c r="CUH39" s="6"/>
      <c r="CUI39" s="6"/>
      <c r="CUJ39" s="6"/>
      <c r="CUK39" s="6"/>
      <c r="CUL39" s="6"/>
      <c r="CUM39" s="6"/>
      <c r="CUN39" s="6"/>
      <c r="CUO39" s="6"/>
      <c r="CUP39" s="6"/>
      <c r="CUQ39" s="6"/>
      <c r="CUR39" s="6"/>
      <c r="CUS39" s="6"/>
      <c r="CUT39" s="6"/>
      <c r="CUU39" s="6"/>
      <c r="CUV39" s="6"/>
      <c r="CUW39" s="6"/>
      <c r="CUX39" s="6"/>
      <c r="CUY39" s="6"/>
      <c r="CUZ39" s="6"/>
      <c r="CVA39" s="6"/>
      <c r="CVB39" s="6"/>
      <c r="CVC39" s="6"/>
      <c r="CVD39" s="6"/>
      <c r="CVE39" s="6"/>
      <c r="CVF39" s="6"/>
      <c r="CVG39" s="6"/>
      <c r="CVH39" s="6"/>
      <c r="CVI39" s="6"/>
      <c r="CVJ39" s="6"/>
      <c r="CVK39" s="6"/>
      <c r="CVL39" s="6"/>
      <c r="CVM39" s="6"/>
      <c r="CVN39" s="6"/>
      <c r="CVO39" s="6"/>
      <c r="CVP39" s="6"/>
      <c r="CVQ39" s="6"/>
      <c r="CVR39" s="6"/>
      <c r="CVS39" s="6"/>
      <c r="CVT39" s="6"/>
      <c r="CVU39" s="6"/>
      <c r="CVV39" s="6"/>
      <c r="CVW39" s="6"/>
      <c r="CVX39" s="6"/>
      <c r="CVY39" s="6"/>
      <c r="CVZ39" s="6"/>
      <c r="CWA39" s="6"/>
      <c r="CWB39" s="6"/>
      <c r="CWC39" s="6"/>
      <c r="CWD39" s="6"/>
      <c r="CWE39" s="6"/>
      <c r="CWF39" s="6"/>
      <c r="CWG39" s="6"/>
      <c r="CWH39" s="6"/>
      <c r="CWI39" s="6"/>
      <c r="CWJ39" s="6"/>
      <c r="CWK39" s="6"/>
      <c r="CWL39" s="6"/>
      <c r="CWM39" s="6"/>
      <c r="CWN39" s="6"/>
      <c r="CWO39" s="6"/>
      <c r="CWP39" s="6"/>
      <c r="CWQ39" s="6"/>
      <c r="CWR39" s="6"/>
      <c r="CWS39" s="6"/>
      <c r="CWT39" s="6"/>
      <c r="CWU39" s="6"/>
      <c r="CWV39" s="6"/>
      <c r="CWW39" s="6"/>
      <c r="CWX39" s="6"/>
      <c r="CWY39" s="6"/>
      <c r="CWZ39" s="6"/>
      <c r="CXA39" s="6"/>
      <c r="CXB39" s="6"/>
      <c r="CXC39" s="6"/>
      <c r="CXD39" s="6"/>
      <c r="CXE39" s="6"/>
      <c r="CXF39" s="6"/>
      <c r="CXG39" s="6"/>
      <c r="CXH39" s="6"/>
      <c r="CXI39" s="6"/>
      <c r="CXJ39" s="6"/>
      <c r="CXK39" s="6"/>
      <c r="CXL39" s="6"/>
      <c r="CXM39" s="6"/>
      <c r="CXN39" s="6"/>
      <c r="CXO39" s="6"/>
      <c r="CXP39" s="6"/>
      <c r="CXQ39" s="6"/>
      <c r="CXR39" s="6"/>
      <c r="CXS39" s="6"/>
      <c r="CXT39" s="6"/>
      <c r="CXU39" s="6"/>
      <c r="CXV39" s="6"/>
      <c r="CXW39" s="6"/>
      <c r="CXX39" s="6"/>
      <c r="CXY39" s="6"/>
      <c r="CXZ39" s="6"/>
      <c r="CYA39" s="6"/>
      <c r="CYB39" s="6"/>
      <c r="CYC39" s="6"/>
      <c r="CYD39" s="6"/>
      <c r="CYE39" s="6"/>
      <c r="CYF39" s="6"/>
      <c r="CYG39" s="6"/>
      <c r="CYH39" s="6"/>
      <c r="CYI39" s="6"/>
      <c r="CYJ39" s="6"/>
      <c r="CYK39" s="6"/>
      <c r="CYL39" s="6"/>
      <c r="CYM39" s="6"/>
      <c r="CYN39" s="6"/>
      <c r="CYO39" s="6"/>
      <c r="CYP39" s="6"/>
      <c r="CYQ39" s="6"/>
      <c r="CYR39" s="6"/>
      <c r="CYS39" s="6"/>
      <c r="CYT39" s="6"/>
      <c r="CYU39" s="6"/>
      <c r="CYV39" s="6"/>
      <c r="CYW39" s="6"/>
      <c r="CYX39" s="6"/>
      <c r="CYY39" s="6"/>
      <c r="CYZ39" s="6"/>
      <c r="CZA39" s="6"/>
      <c r="CZB39" s="6"/>
      <c r="CZC39" s="6"/>
      <c r="CZD39" s="6"/>
      <c r="CZE39" s="6"/>
      <c r="CZF39" s="6"/>
      <c r="CZG39" s="6"/>
      <c r="CZH39" s="6"/>
      <c r="CZI39" s="6"/>
      <c r="CZJ39" s="6"/>
      <c r="CZK39" s="6"/>
      <c r="CZL39" s="6"/>
      <c r="CZM39" s="6"/>
      <c r="CZN39" s="6"/>
      <c r="CZO39" s="6"/>
      <c r="CZP39" s="6"/>
      <c r="CZQ39" s="6"/>
      <c r="CZR39" s="6"/>
      <c r="CZS39" s="6"/>
      <c r="CZT39" s="6"/>
      <c r="CZU39" s="6"/>
      <c r="CZV39" s="6"/>
      <c r="CZW39" s="6"/>
      <c r="CZX39" s="6"/>
      <c r="CZY39" s="6"/>
      <c r="CZZ39" s="6"/>
      <c r="DAA39" s="6"/>
      <c r="DAB39" s="6"/>
      <c r="DAC39" s="6"/>
      <c r="DAD39" s="6"/>
      <c r="DAE39" s="6"/>
      <c r="DAF39" s="6"/>
      <c r="DAG39" s="6"/>
      <c r="DAH39" s="6"/>
      <c r="DAI39" s="6"/>
      <c r="DAJ39" s="6"/>
      <c r="DAK39" s="6"/>
      <c r="DAL39" s="6"/>
      <c r="DAM39" s="6"/>
      <c r="DAN39" s="6"/>
      <c r="DAO39" s="6"/>
      <c r="DAP39" s="6"/>
      <c r="DAQ39" s="6"/>
      <c r="DAR39" s="6"/>
      <c r="DAS39" s="6"/>
      <c r="DAT39" s="6"/>
      <c r="DAU39" s="6"/>
      <c r="DAV39" s="6"/>
      <c r="DAW39" s="6"/>
      <c r="DAX39" s="6"/>
      <c r="DAY39" s="6"/>
      <c r="DAZ39" s="6"/>
      <c r="DBA39" s="6"/>
      <c r="DBB39" s="6"/>
      <c r="DBC39" s="6"/>
      <c r="DBD39" s="6"/>
      <c r="DBE39" s="6"/>
      <c r="DBF39" s="6"/>
      <c r="DBG39" s="6"/>
      <c r="DBH39" s="6"/>
      <c r="DBI39" s="6"/>
      <c r="DBJ39" s="6"/>
      <c r="DBK39" s="6"/>
      <c r="DBL39" s="6"/>
      <c r="DBM39" s="6"/>
      <c r="DBN39" s="6"/>
      <c r="DBO39" s="6"/>
      <c r="DBP39" s="6"/>
      <c r="DBQ39" s="6"/>
      <c r="DBR39" s="6"/>
      <c r="DBS39" s="6"/>
      <c r="DBT39" s="6"/>
      <c r="DBU39" s="6"/>
      <c r="DBV39" s="6"/>
      <c r="DBW39" s="6"/>
      <c r="DBX39" s="6"/>
      <c r="DBY39" s="6"/>
      <c r="DBZ39" s="6"/>
      <c r="DCA39" s="6"/>
      <c r="DCB39" s="6"/>
      <c r="DCC39" s="6"/>
      <c r="DCD39" s="6"/>
      <c r="DCE39" s="6"/>
      <c r="DCF39" s="6"/>
      <c r="DCG39" s="6"/>
      <c r="DCH39" s="6"/>
      <c r="DCI39" s="6"/>
      <c r="DCJ39" s="6"/>
      <c r="DCK39" s="6"/>
      <c r="DCL39" s="6"/>
      <c r="DCM39" s="6"/>
      <c r="DCN39" s="6"/>
      <c r="DCO39" s="6"/>
      <c r="DCP39" s="6"/>
      <c r="DCQ39" s="6"/>
      <c r="DCR39" s="6"/>
      <c r="DCS39" s="6"/>
      <c r="DCT39" s="6"/>
      <c r="DCU39" s="6"/>
      <c r="DCV39" s="6"/>
      <c r="DCW39" s="6"/>
      <c r="DCX39" s="6"/>
      <c r="DCY39" s="6"/>
      <c r="DCZ39" s="6"/>
      <c r="DDA39" s="6"/>
      <c r="DDB39" s="6"/>
      <c r="DDC39" s="6"/>
      <c r="DDD39" s="6"/>
      <c r="DDE39" s="6"/>
      <c r="DDF39" s="6"/>
      <c r="DDG39" s="6"/>
      <c r="DDH39" s="6"/>
      <c r="DDI39" s="6"/>
      <c r="DDJ39" s="6"/>
      <c r="DDK39" s="6"/>
      <c r="DDL39" s="6"/>
      <c r="DDM39" s="6"/>
      <c r="DDN39" s="6"/>
      <c r="DDO39" s="6"/>
      <c r="DDP39" s="6"/>
      <c r="DDQ39" s="6"/>
      <c r="DDR39" s="6"/>
      <c r="DDS39" s="6"/>
      <c r="DDT39" s="6"/>
      <c r="DDU39" s="6"/>
      <c r="DDV39" s="6"/>
      <c r="DDW39" s="6"/>
      <c r="DDX39" s="6"/>
      <c r="DDY39" s="6"/>
      <c r="DDZ39" s="6"/>
      <c r="DEA39" s="6"/>
      <c r="DEB39" s="6"/>
      <c r="DEC39" s="6"/>
      <c r="DED39" s="6"/>
      <c r="DEE39" s="6"/>
      <c r="DEF39" s="6"/>
      <c r="DEG39" s="6"/>
      <c r="DEH39" s="6"/>
      <c r="DEI39" s="6"/>
      <c r="DEJ39" s="6"/>
      <c r="DEK39" s="6"/>
      <c r="DEL39" s="6"/>
      <c r="DEM39" s="6"/>
      <c r="DEN39" s="6"/>
      <c r="DEO39" s="6"/>
      <c r="DEP39" s="6"/>
      <c r="DEQ39" s="6"/>
      <c r="DER39" s="6"/>
      <c r="DES39" s="6"/>
      <c r="DET39" s="6"/>
      <c r="DEU39" s="6"/>
      <c r="DEV39" s="6"/>
      <c r="DEW39" s="6"/>
      <c r="DEX39" s="6"/>
      <c r="DEY39" s="6"/>
      <c r="DEZ39" s="6"/>
      <c r="DFA39" s="6"/>
      <c r="DFB39" s="6"/>
      <c r="DFC39" s="6"/>
      <c r="DFD39" s="6"/>
      <c r="DFE39" s="6"/>
      <c r="DFF39" s="6"/>
      <c r="DFG39" s="6"/>
      <c r="DFH39" s="6"/>
      <c r="DFI39" s="6"/>
      <c r="DFJ39" s="6"/>
      <c r="DFK39" s="6"/>
      <c r="DFL39" s="6"/>
      <c r="DFM39" s="6"/>
      <c r="DFN39" s="6"/>
      <c r="DFO39" s="6"/>
      <c r="DFP39" s="6"/>
      <c r="DFQ39" s="6"/>
      <c r="DFR39" s="6"/>
      <c r="DFS39" s="6"/>
      <c r="DFT39" s="6"/>
      <c r="DFU39" s="6"/>
      <c r="DFV39" s="6"/>
      <c r="DFW39" s="6"/>
      <c r="DFX39" s="6"/>
      <c r="DFY39" s="6"/>
      <c r="DFZ39" s="6"/>
      <c r="DGA39" s="6"/>
      <c r="DGB39" s="6"/>
      <c r="DGC39" s="6"/>
      <c r="DGD39" s="6"/>
      <c r="DGE39" s="6"/>
      <c r="DGF39" s="6"/>
      <c r="DGG39" s="6"/>
      <c r="DGH39" s="6"/>
      <c r="DGI39" s="6"/>
      <c r="DGJ39" s="6"/>
      <c r="DGK39" s="6"/>
      <c r="DGL39" s="6"/>
      <c r="DGM39" s="6"/>
      <c r="DGN39" s="6"/>
      <c r="DGO39" s="6"/>
      <c r="DGP39" s="6"/>
      <c r="DGQ39" s="6"/>
      <c r="DGR39" s="6"/>
      <c r="DGS39" s="6"/>
      <c r="DGT39" s="6"/>
      <c r="DGU39" s="6"/>
      <c r="DGV39" s="6"/>
      <c r="DGW39" s="6"/>
      <c r="DGX39" s="6"/>
      <c r="DGY39" s="6"/>
      <c r="DGZ39" s="6"/>
      <c r="DHA39" s="6"/>
      <c r="DHB39" s="6"/>
      <c r="DHC39" s="6"/>
      <c r="DHD39" s="6"/>
      <c r="DHE39" s="6"/>
      <c r="DHF39" s="6"/>
      <c r="DHG39" s="6"/>
      <c r="DHH39" s="6"/>
      <c r="DHI39" s="6"/>
      <c r="DHJ39" s="6"/>
      <c r="DHK39" s="6"/>
      <c r="DHL39" s="6"/>
      <c r="DHM39" s="6"/>
      <c r="DHN39" s="6"/>
      <c r="DHO39" s="6"/>
      <c r="DHP39" s="6"/>
      <c r="DHQ39" s="6"/>
      <c r="DHR39" s="6"/>
      <c r="DHS39" s="6"/>
      <c r="DHT39" s="6"/>
      <c r="DHU39" s="6"/>
      <c r="DHV39" s="6"/>
      <c r="DHW39" s="6"/>
      <c r="DHX39" s="6"/>
      <c r="DHY39" s="6"/>
      <c r="DHZ39" s="6"/>
      <c r="DIA39" s="6"/>
      <c r="DIB39" s="6"/>
      <c r="DIC39" s="6"/>
      <c r="DID39" s="6"/>
      <c r="DIE39" s="6"/>
      <c r="DIF39" s="6"/>
      <c r="DIG39" s="6"/>
      <c r="DIH39" s="6"/>
      <c r="DII39" s="6"/>
      <c r="DIJ39" s="6"/>
      <c r="DIK39" s="6"/>
      <c r="DIL39" s="6"/>
      <c r="DIM39" s="6"/>
      <c r="DIN39" s="6"/>
      <c r="DIO39" s="6"/>
      <c r="DIP39" s="6"/>
      <c r="DIQ39" s="6"/>
      <c r="DIR39" s="6"/>
      <c r="DIS39" s="6"/>
      <c r="DIT39" s="6"/>
      <c r="DIU39" s="6"/>
      <c r="DIV39" s="6"/>
      <c r="DIW39" s="6"/>
      <c r="DIX39" s="6"/>
      <c r="DIY39" s="6"/>
      <c r="DIZ39" s="6"/>
      <c r="DJA39" s="6"/>
      <c r="DJB39" s="6"/>
      <c r="DJC39" s="6"/>
      <c r="DJD39" s="6"/>
      <c r="DJE39" s="6"/>
      <c r="DJF39" s="6"/>
      <c r="DJG39" s="6"/>
      <c r="DJH39" s="6"/>
      <c r="DJI39" s="6"/>
      <c r="DJJ39" s="6"/>
      <c r="DJK39" s="6"/>
      <c r="DJL39" s="6"/>
      <c r="DJM39" s="6"/>
      <c r="DJN39" s="6"/>
      <c r="DJO39" s="6"/>
      <c r="DJP39" s="6"/>
      <c r="DJQ39" s="6"/>
      <c r="DJR39" s="6"/>
      <c r="DJS39" s="6"/>
      <c r="DJT39" s="6"/>
      <c r="DJU39" s="6"/>
      <c r="DJV39" s="6"/>
      <c r="DJW39" s="6"/>
      <c r="DJX39" s="6"/>
      <c r="DJY39" s="6"/>
      <c r="DJZ39" s="6"/>
      <c r="DKA39" s="6"/>
      <c r="DKB39" s="6"/>
      <c r="DKC39" s="6"/>
      <c r="DKD39" s="6"/>
      <c r="DKE39" s="6"/>
      <c r="DKF39" s="6"/>
      <c r="DKG39" s="6"/>
      <c r="DKH39" s="6"/>
      <c r="DKI39" s="6"/>
      <c r="DKJ39" s="6"/>
      <c r="DKK39" s="6"/>
      <c r="DKL39" s="6"/>
      <c r="DKM39" s="6"/>
      <c r="DKN39" s="6"/>
      <c r="DKO39" s="6"/>
      <c r="DKP39" s="6"/>
      <c r="DKQ39" s="6"/>
      <c r="DKR39" s="6"/>
      <c r="DKS39" s="6"/>
      <c r="DKT39" s="6"/>
      <c r="DKU39" s="6"/>
      <c r="DKV39" s="6"/>
      <c r="DKW39" s="6"/>
      <c r="DKX39" s="6"/>
      <c r="DKY39" s="6"/>
      <c r="DKZ39" s="6"/>
      <c r="DLA39" s="6"/>
      <c r="DLB39" s="6"/>
      <c r="DLC39" s="6"/>
      <c r="DLD39" s="6"/>
      <c r="DLE39" s="6"/>
      <c r="DLF39" s="6"/>
      <c r="DLG39" s="6"/>
      <c r="DLH39" s="6"/>
      <c r="DLI39" s="6"/>
      <c r="DLJ39" s="6"/>
      <c r="DLK39" s="6"/>
      <c r="DLL39" s="6"/>
      <c r="DLM39" s="6"/>
      <c r="DLN39" s="6"/>
      <c r="DLO39" s="6"/>
      <c r="DLP39" s="6"/>
      <c r="DLQ39" s="6"/>
      <c r="DLR39" s="6"/>
      <c r="DLS39" s="6"/>
      <c r="DLT39" s="6"/>
      <c r="DLU39" s="6"/>
      <c r="DLV39" s="6"/>
      <c r="DLW39" s="6"/>
      <c r="DLX39" s="6"/>
      <c r="DLY39" s="6"/>
      <c r="DLZ39" s="6"/>
      <c r="DMA39" s="6"/>
      <c r="DMB39" s="6"/>
      <c r="DMC39" s="6"/>
      <c r="DMD39" s="6"/>
      <c r="DME39" s="6"/>
      <c r="DMF39" s="6"/>
      <c r="DMG39" s="6"/>
      <c r="DMH39" s="6"/>
      <c r="DMI39" s="6"/>
      <c r="DMJ39" s="6"/>
      <c r="DMK39" s="6"/>
      <c r="DML39" s="6"/>
      <c r="DMM39" s="6"/>
      <c r="DMN39" s="6"/>
      <c r="DMO39" s="6"/>
      <c r="DMP39" s="6"/>
      <c r="DMQ39" s="6"/>
      <c r="DMR39" s="6"/>
      <c r="DMS39" s="6"/>
      <c r="DMT39" s="6"/>
      <c r="DMU39" s="6"/>
      <c r="DMV39" s="6"/>
      <c r="DMW39" s="6"/>
      <c r="DMX39" s="6"/>
      <c r="DMY39" s="6"/>
      <c r="DMZ39" s="6"/>
      <c r="DNA39" s="6"/>
      <c r="DNB39" s="6"/>
      <c r="DNC39" s="6"/>
      <c r="DND39" s="6"/>
      <c r="DNE39" s="6"/>
      <c r="DNF39" s="6"/>
      <c r="DNG39" s="6"/>
      <c r="DNH39" s="6"/>
      <c r="DNI39" s="6"/>
      <c r="DNJ39" s="6"/>
      <c r="DNK39" s="6"/>
      <c r="DNL39" s="6"/>
      <c r="DNM39" s="6"/>
      <c r="DNN39" s="6"/>
      <c r="DNO39" s="6"/>
      <c r="DNP39" s="6"/>
      <c r="DNQ39" s="6"/>
      <c r="DNR39" s="6"/>
      <c r="DNS39" s="6"/>
      <c r="DNT39" s="6"/>
      <c r="DNU39" s="6"/>
      <c r="DNV39" s="6"/>
      <c r="DNW39" s="6"/>
      <c r="DNX39" s="6"/>
      <c r="DNY39" s="6"/>
      <c r="DNZ39" s="6"/>
      <c r="DOA39" s="6"/>
      <c r="DOB39" s="6"/>
      <c r="DOC39" s="6"/>
      <c r="DOD39" s="6"/>
      <c r="DOE39" s="6"/>
      <c r="DOF39" s="6"/>
      <c r="DOG39" s="6"/>
      <c r="DOH39" s="6"/>
      <c r="DOI39" s="6"/>
      <c r="DOJ39" s="6"/>
      <c r="DOK39" s="6"/>
      <c r="DOL39" s="6"/>
      <c r="DOM39" s="6"/>
      <c r="DON39" s="6"/>
      <c r="DOO39" s="6"/>
      <c r="DOP39" s="6"/>
      <c r="DOQ39" s="6"/>
      <c r="DOR39" s="6"/>
      <c r="DOS39" s="6"/>
      <c r="DOT39" s="6"/>
      <c r="DOU39" s="6"/>
      <c r="DOV39" s="6"/>
      <c r="DOW39" s="6"/>
      <c r="DOX39" s="6"/>
      <c r="DOY39" s="6"/>
      <c r="DOZ39" s="6"/>
      <c r="DPA39" s="6"/>
      <c r="DPB39" s="6"/>
      <c r="DPC39" s="6"/>
      <c r="DPD39" s="6"/>
      <c r="DPE39" s="6"/>
      <c r="DPF39" s="6"/>
      <c r="DPG39" s="6"/>
      <c r="DPH39" s="6"/>
      <c r="DPI39" s="6"/>
      <c r="DPJ39" s="6"/>
      <c r="DPK39" s="6"/>
      <c r="DPL39" s="6"/>
      <c r="DPM39" s="6"/>
      <c r="DPN39" s="6"/>
      <c r="DPO39" s="6"/>
      <c r="DPP39" s="6"/>
      <c r="DPQ39" s="6"/>
      <c r="DPR39" s="6"/>
      <c r="DPS39" s="6"/>
      <c r="DPT39" s="6"/>
      <c r="DPU39" s="6"/>
      <c r="DPV39" s="6"/>
      <c r="DPW39" s="6"/>
      <c r="DPX39" s="6"/>
      <c r="DPY39" s="6"/>
      <c r="DPZ39" s="6"/>
      <c r="DQA39" s="6"/>
      <c r="DQB39" s="6"/>
      <c r="DQC39" s="6"/>
      <c r="DQD39" s="6"/>
      <c r="DQE39" s="6"/>
      <c r="DQF39" s="6"/>
      <c r="DQG39" s="6"/>
      <c r="DQH39" s="6"/>
      <c r="DQI39" s="6"/>
      <c r="DQJ39" s="6"/>
      <c r="DQK39" s="6"/>
      <c r="DQL39" s="6"/>
      <c r="DQM39" s="6"/>
      <c r="DQN39" s="6"/>
      <c r="DQO39" s="6"/>
      <c r="DQP39" s="6"/>
      <c r="DQQ39" s="6"/>
      <c r="DQR39" s="6"/>
      <c r="DQS39" s="6"/>
      <c r="DQT39" s="6"/>
      <c r="DQU39" s="6"/>
      <c r="DQV39" s="6"/>
      <c r="DQW39" s="6"/>
      <c r="DQX39" s="6"/>
      <c r="DQY39" s="6"/>
      <c r="DQZ39" s="6"/>
      <c r="DRA39" s="6"/>
      <c r="DRB39" s="6"/>
      <c r="DRC39" s="6"/>
      <c r="DRD39" s="6"/>
      <c r="DRE39" s="6"/>
      <c r="DRF39" s="6"/>
      <c r="DRG39" s="6"/>
      <c r="DRH39" s="6"/>
      <c r="DRI39" s="6"/>
      <c r="DRJ39" s="6"/>
      <c r="DRK39" s="6"/>
      <c r="DRL39" s="6"/>
      <c r="DRM39" s="6"/>
      <c r="DRN39" s="6"/>
      <c r="DRO39" s="6"/>
      <c r="DRP39" s="6"/>
      <c r="DRQ39" s="6"/>
      <c r="DRR39" s="6"/>
      <c r="DRS39" s="6"/>
      <c r="DRT39" s="6"/>
      <c r="DRU39" s="6"/>
      <c r="DRV39" s="6"/>
      <c r="DRW39" s="6"/>
      <c r="DRX39" s="6"/>
      <c r="DRY39" s="6"/>
      <c r="DRZ39" s="6"/>
      <c r="DSA39" s="6"/>
      <c r="DSB39" s="6"/>
      <c r="DSC39" s="6"/>
      <c r="DSD39" s="6"/>
      <c r="DSE39" s="6"/>
      <c r="DSF39" s="6"/>
      <c r="DSG39" s="6"/>
      <c r="DSH39" s="6"/>
      <c r="DSI39" s="6"/>
      <c r="DSJ39" s="6"/>
      <c r="DSK39" s="6"/>
      <c r="DSL39" s="6"/>
      <c r="DSM39" s="6"/>
      <c r="DSN39" s="6"/>
      <c r="DSO39" s="6"/>
      <c r="DSP39" s="6"/>
      <c r="DSQ39" s="6"/>
      <c r="DSR39" s="6"/>
      <c r="DSS39" s="6"/>
      <c r="DST39" s="6"/>
      <c r="DSU39" s="6"/>
      <c r="DSV39" s="6"/>
      <c r="DSW39" s="6"/>
      <c r="DSX39" s="6"/>
      <c r="DSY39" s="6"/>
      <c r="DSZ39" s="6"/>
      <c r="DTA39" s="6"/>
      <c r="DTB39" s="6"/>
      <c r="DTC39" s="6"/>
      <c r="DTD39" s="6"/>
      <c r="DTE39" s="6"/>
      <c r="DTF39" s="6"/>
      <c r="DTG39" s="6"/>
      <c r="DTH39" s="6"/>
      <c r="DTI39" s="6"/>
      <c r="DTJ39" s="6"/>
      <c r="DTK39" s="6"/>
      <c r="DTL39" s="6"/>
      <c r="DTM39" s="6"/>
      <c r="DTN39" s="6"/>
      <c r="DTO39" s="6"/>
      <c r="DTP39" s="6"/>
      <c r="DTQ39" s="6"/>
      <c r="DTR39" s="6"/>
      <c r="DTS39" s="6"/>
      <c r="DTT39" s="6"/>
      <c r="DTU39" s="6"/>
      <c r="DTV39" s="6"/>
      <c r="DTW39" s="6"/>
      <c r="DTX39" s="6"/>
      <c r="DTY39" s="6"/>
      <c r="DTZ39" s="6"/>
      <c r="DUA39" s="6"/>
      <c r="DUB39" s="6"/>
      <c r="DUC39" s="6"/>
      <c r="DUD39" s="6"/>
      <c r="DUE39" s="6"/>
      <c r="DUF39" s="6"/>
      <c r="DUG39" s="6"/>
      <c r="DUH39" s="6"/>
      <c r="DUI39" s="6"/>
      <c r="DUJ39" s="6"/>
      <c r="DUK39" s="6"/>
      <c r="DUL39" s="6"/>
      <c r="DUM39" s="6"/>
      <c r="DUN39" s="6"/>
      <c r="DUO39" s="6"/>
      <c r="DUP39" s="6"/>
      <c r="DUQ39" s="6"/>
      <c r="DUR39" s="6"/>
      <c r="DUS39" s="6"/>
      <c r="DUT39" s="6"/>
      <c r="DUU39" s="6"/>
      <c r="DUV39" s="6"/>
      <c r="DUW39" s="6"/>
      <c r="DUX39" s="6"/>
      <c r="DUY39" s="6"/>
      <c r="DUZ39" s="6"/>
      <c r="DVA39" s="6"/>
      <c r="DVB39" s="6"/>
      <c r="DVC39" s="6"/>
      <c r="DVD39" s="6"/>
      <c r="DVE39" s="6"/>
      <c r="DVF39" s="6"/>
      <c r="DVG39" s="6"/>
      <c r="DVH39" s="6"/>
      <c r="DVI39" s="6"/>
      <c r="DVJ39" s="6"/>
      <c r="DVK39" s="6"/>
      <c r="DVL39" s="6"/>
      <c r="DVM39" s="6"/>
      <c r="DVN39" s="6"/>
      <c r="DVO39" s="6"/>
      <c r="DVP39" s="6"/>
      <c r="DVQ39" s="6"/>
      <c r="DVR39" s="6"/>
      <c r="DVS39" s="6"/>
      <c r="DVT39" s="6"/>
      <c r="DVU39" s="6"/>
      <c r="DVV39" s="6"/>
      <c r="DVW39" s="6"/>
      <c r="DVX39" s="6"/>
      <c r="DVY39" s="6"/>
      <c r="DVZ39" s="6"/>
      <c r="DWA39" s="6"/>
      <c r="DWB39" s="6"/>
      <c r="DWC39" s="6"/>
      <c r="DWD39" s="6"/>
      <c r="DWE39" s="6"/>
      <c r="DWF39" s="6"/>
      <c r="DWG39" s="6"/>
      <c r="DWH39" s="6"/>
      <c r="DWI39" s="6"/>
      <c r="DWJ39" s="6"/>
      <c r="DWK39" s="6"/>
      <c r="DWL39" s="6"/>
      <c r="DWM39" s="6"/>
      <c r="DWN39" s="6"/>
      <c r="DWO39" s="6"/>
      <c r="DWP39" s="6"/>
      <c r="DWQ39" s="6"/>
      <c r="DWR39" s="6"/>
      <c r="DWS39" s="6"/>
      <c r="DWT39" s="6"/>
      <c r="DWU39" s="6"/>
      <c r="DWV39" s="6"/>
      <c r="DWW39" s="6"/>
      <c r="DWX39" s="6"/>
      <c r="DWY39" s="6"/>
      <c r="DWZ39" s="6"/>
      <c r="DXA39" s="6"/>
      <c r="DXB39" s="6"/>
      <c r="DXC39" s="6"/>
      <c r="DXD39" s="6"/>
      <c r="DXE39" s="6"/>
      <c r="DXF39" s="6"/>
      <c r="DXG39" s="6"/>
      <c r="DXH39" s="6"/>
      <c r="DXI39" s="6"/>
      <c r="DXJ39" s="6"/>
      <c r="DXK39" s="6"/>
      <c r="DXL39" s="6"/>
      <c r="DXM39" s="6"/>
      <c r="DXN39" s="6"/>
      <c r="DXO39" s="6"/>
      <c r="DXP39" s="6"/>
      <c r="DXQ39" s="6"/>
      <c r="DXR39" s="6"/>
      <c r="DXS39" s="6"/>
      <c r="DXT39" s="6"/>
      <c r="DXU39" s="6"/>
      <c r="DXV39" s="6"/>
      <c r="DXW39" s="6"/>
      <c r="DXX39" s="6"/>
      <c r="DXY39" s="6"/>
      <c r="DXZ39" s="6"/>
      <c r="DYA39" s="6"/>
      <c r="DYB39" s="6"/>
      <c r="DYC39" s="6"/>
      <c r="DYD39" s="6"/>
      <c r="DYE39" s="6"/>
      <c r="DYF39" s="6"/>
      <c r="DYG39" s="6"/>
      <c r="DYH39" s="6"/>
      <c r="DYI39" s="6"/>
      <c r="DYJ39" s="6"/>
      <c r="DYK39" s="6"/>
      <c r="DYL39" s="6"/>
      <c r="DYM39" s="6"/>
      <c r="DYN39" s="6"/>
      <c r="DYO39" s="6"/>
      <c r="DYP39" s="6"/>
      <c r="DYQ39" s="6"/>
      <c r="DYR39" s="6"/>
      <c r="DYS39" s="6"/>
      <c r="DYT39" s="6"/>
      <c r="DYU39" s="6"/>
      <c r="DYV39" s="6"/>
      <c r="DYW39" s="6"/>
      <c r="DYX39" s="6"/>
      <c r="DYY39" s="6"/>
      <c r="DYZ39" s="6"/>
      <c r="DZA39" s="6"/>
      <c r="DZB39" s="6"/>
      <c r="DZC39" s="6"/>
      <c r="DZD39" s="6"/>
      <c r="DZE39" s="6"/>
      <c r="DZF39" s="6"/>
      <c r="DZG39" s="6"/>
      <c r="DZH39" s="6"/>
      <c r="DZI39" s="6"/>
      <c r="DZJ39" s="6"/>
      <c r="DZK39" s="6"/>
      <c r="DZL39" s="6"/>
      <c r="DZM39" s="6"/>
      <c r="DZN39" s="6"/>
      <c r="DZO39" s="6"/>
      <c r="DZP39" s="6"/>
      <c r="DZQ39" s="6"/>
      <c r="DZR39" s="6"/>
      <c r="DZS39" s="6"/>
      <c r="DZT39" s="6"/>
      <c r="DZU39" s="6"/>
      <c r="DZV39" s="6"/>
      <c r="DZW39" s="6"/>
      <c r="DZX39" s="6"/>
      <c r="DZY39" s="6"/>
      <c r="DZZ39" s="6"/>
      <c r="EAA39" s="6"/>
      <c r="EAB39" s="6"/>
      <c r="EAC39" s="6"/>
      <c r="EAD39" s="6"/>
      <c r="EAE39" s="6"/>
      <c r="EAF39" s="6"/>
      <c r="EAG39" s="6"/>
      <c r="EAH39" s="6"/>
      <c r="EAI39" s="6"/>
      <c r="EAJ39" s="6"/>
      <c r="EAK39" s="6"/>
      <c r="EAL39" s="6"/>
      <c r="EAM39" s="6"/>
      <c r="EAN39" s="6"/>
      <c r="EAO39" s="6"/>
      <c r="EAP39" s="6"/>
      <c r="EAQ39" s="6"/>
      <c r="EAR39" s="6"/>
      <c r="EAS39" s="6"/>
      <c r="EAT39" s="6"/>
      <c r="EAU39" s="6"/>
      <c r="EAV39" s="6"/>
      <c r="EAW39" s="6"/>
      <c r="EAX39" s="6"/>
      <c r="EAY39" s="6"/>
      <c r="EAZ39" s="6"/>
      <c r="EBA39" s="6"/>
      <c r="EBB39" s="6"/>
      <c r="EBC39" s="6"/>
      <c r="EBD39" s="6"/>
      <c r="EBE39" s="6"/>
      <c r="EBF39" s="6"/>
      <c r="EBG39" s="6"/>
      <c r="EBH39" s="6"/>
      <c r="EBI39" s="6"/>
      <c r="EBJ39" s="6"/>
      <c r="EBK39" s="6"/>
      <c r="EBL39" s="6"/>
      <c r="EBM39" s="6"/>
      <c r="EBN39" s="6"/>
      <c r="EBO39" s="6"/>
      <c r="EBP39" s="6"/>
      <c r="EBQ39" s="6"/>
      <c r="EBR39" s="6"/>
      <c r="EBS39" s="6"/>
      <c r="EBT39" s="6"/>
      <c r="EBU39" s="6"/>
      <c r="EBV39" s="6"/>
      <c r="EBW39" s="6"/>
      <c r="EBX39" s="6"/>
      <c r="EBY39" s="6"/>
      <c r="EBZ39" s="6"/>
      <c r="ECA39" s="6"/>
      <c r="ECB39" s="6"/>
      <c r="ECC39" s="6"/>
      <c r="ECD39" s="6"/>
      <c r="ECE39" s="6"/>
      <c r="ECF39" s="6"/>
      <c r="ECG39" s="6"/>
      <c r="ECH39" s="6"/>
      <c r="ECI39" s="6"/>
      <c r="ECJ39" s="6"/>
      <c r="ECK39" s="6"/>
      <c r="ECL39" s="6"/>
      <c r="ECM39" s="6"/>
      <c r="ECN39" s="6"/>
      <c r="ECO39" s="6"/>
      <c r="ECP39" s="6"/>
      <c r="ECQ39" s="6"/>
      <c r="ECR39" s="6"/>
      <c r="ECS39" s="6"/>
      <c r="ECT39" s="6"/>
      <c r="ECU39" s="6"/>
      <c r="ECV39" s="6"/>
      <c r="ECW39" s="6"/>
      <c r="ECX39" s="6"/>
      <c r="ECY39" s="6"/>
      <c r="ECZ39" s="6"/>
      <c r="EDA39" s="6"/>
      <c r="EDB39" s="6"/>
      <c r="EDC39" s="6"/>
      <c r="EDD39" s="6"/>
      <c r="EDE39" s="6"/>
      <c r="EDF39" s="6"/>
      <c r="EDG39" s="6"/>
      <c r="EDH39" s="6"/>
      <c r="EDI39" s="6"/>
      <c r="EDJ39" s="6"/>
      <c r="EDK39" s="6"/>
      <c r="EDL39" s="6"/>
      <c r="EDM39" s="6"/>
      <c r="EDN39" s="6"/>
      <c r="EDO39" s="6"/>
      <c r="EDP39" s="6"/>
      <c r="EDQ39" s="6"/>
      <c r="EDR39" s="6"/>
      <c r="EDS39" s="6"/>
      <c r="EDT39" s="6"/>
      <c r="EDU39" s="6"/>
      <c r="EDV39" s="6"/>
      <c r="EDW39" s="6"/>
      <c r="EDX39" s="6"/>
      <c r="EDY39" s="6"/>
      <c r="EDZ39" s="6"/>
      <c r="EEA39" s="6"/>
      <c r="EEB39" s="6"/>
      <c r="EEC39" s="6"/>
      <c r="EED39" s="6"/>
      <c r="EEE39" s="6"/>
      <c r="EEF39" s="6"/>
      <c r="EEG39" s="6"/>
      <c r="EEH39" s="6"/>
      <c r="EEI39" s="6"/>
      <c r="EEJ39" s="6"/>
      <c r="EEK39" s="6"/>
      <c r="EEL39" s="6"/>
      <c r="EEM39" s="6"/>
      <c r="EEN39" s="6"/>
      <c r="EEO39" s="6"/>
      <c r="EEP39" s="6"/>
      <c r="EEQ39" s="6"/>
      <c r="EER39" s="6"/>
      <c r="EES39" s="6"/>
      <c r="EET39" s="6"/>
      <c r="EEU39" s="6"/>
      <c r="EEV39" s="6"/>
      <c r="EEW39" s="6"/>
      <c r="EEX39" s="6"/>
      <c r="EEY39" s="6"/>
      <c r="EEZ39" s="6"/>
      <c r="EFA39" s="6"/>
      <c r="EFB39" s="6"/>
      <c r="EFC39" s="6"/>
      <c r="EFD39" s="6"/>
      <c r="EFE39" s="6"/>
      <c r="EFF39" s="6"/>
      <c r="EFG39" s="6"/>
      <c r="EFH39" s="6"/>
      <c r="EFI39" s="6"/>
      <c r="EFJ39" s="6"/>
      <c r="EFK39" s="6"/>
      <c r="EFL39" s="6"/>
      <c r="EFM39" s="6"/>
      <c r="EFN39" s="6"/>
      <c r="EFO39" s="6"/>
      <c r="EFP39" s="6"/>
      <c r="EFQ39" s="6"/>
      <c r="EFR39" s="6"/>
      <c r="EFS39" s="6"/>
      <c r="EFT39" s="6"/>
      <c r="EFU39" s="6"/>
      <c r="EFV39" s="6"/>
      <c r="EFW39" s="6"/>
      <c r="EFX39" s="6"/>
      <c r="EFY39" s="6"/>
      <c r="EFZ39" s="6"/>
      <c r="EGA39" s="6"/>
      <c r="EGB39" s="6"/>
      <c r="EGC39" s="6"/>
      <c r="EGD39" s="6"/>
      <c r="EGE39" s="6"/>
      <c r="EGF39" s="6"/>
      <c r="EGG39" s="6"/>
      <c r="EGH39" s="6"/>
      <c r="EGI39" s="6"/>
      <c r="EGJ39" s="6"/>
      <c r="EGK39" s="6"/>
      <c r="EGL39" s="6"/>
      <c r="EGM39" s="6"/>
      <c r="EGN39" s="6"/>
      <c r="EGO39" s="6"/>
      <c r="EGP39" s="6"/>
      <c r="EGQ39" s="6"/>
      <c r="EGR39" s="6"/>
      <c r="EGS39" s="6"/>
      <c r="EGT39" s="6"/>
      <c r="EGU39" s="6"/>
      <c r="EGV39" s="6"/>
      <c r="EGW39" s="6"/>
      <c r="EGX39" s="6"/>
      <c r="EGY39" s="6"/>
      <c r="EGZ39" s="6"/>
      <c r="EHA39" s="6"/>
      <c r="EHB39" s="6"/>
      <c r="EHC39" s="6"/>
      <c r="EHD39" s="6"/>
      <c r="EHE39" s="6"/>
      <c r="EHF39" s="6"/>
      <c r="EHG39" s="6"/>
      <c r="EHH39" s="6"/>
      <c r="EHI39" s="6"/>
      <c r="EHJ39" s="6"/>
      <c r="EHK39" s="6"/>
      <c r="EHL39" s="6"/>
      <c r="EHM39" s="6"/>
      <c r="EHN39" s="6"/>
      <c r="EHO39" s="6"/>
      <c r="EHP39" s="6"/>
      <c r="EHQ39" s="6"/>
      <c r="EHR39" s="6"/>
      <c r="EHS39" s="6"/>
      <c r="EHT39" s="6"/>
      <c r="EHU39" s="6"/>
      <c r="EHV39" s="6"/>
      <c r="EHW39" s="6"/>
      <c r="EHX39" s="6"/>
      <c r="EHY39" s="6"/>
      <c r="EHZ39" s="6"/>
      <c r="EIA39" s="6"/>
      <c r="EIB39" s="6"/>
      <c r="EIC39" s="6"/>
      <c r="EID39" s="6"/>
      <c r="EIE39" s="6"/>
      <c r="EIF39" s="6"/>
      <c r="EIG39" s="6"/>
      <c r="EIH39" s="6"/>
      <c r="EII39" s="6"/>
      <c r="EIJ39" s="6"/>
      <c r="EIK39" s="6"/>
      <c r="EIL39" s="6"/>
      <c r="EIM39" s="6"/>
      <c r="EIN39" s="6"/>
      <c r="EIO39" s="6"/>
      <c r="EIP39" s="6"/>
      <c r="EIQ39" s="6"/>
      <c r="EIR39" s="6"/>
      <c r="EIS39" s="6"/>
      <c r="EIT39" s="6"/>
      <c r="EIU39" s="6"/>
      <c r="EIV39" s="6"/>
      <c r="EIW39" s="6"/>
      <c r="EIX39" s="6"/>
      <c r="EIY39" s="6"/>
      <c r="EIZ39" s="6"/>
      <c r="EJA39" s="6"/>
      <c r="EJB39" s="6"/>
      <c r="EJC39" s="6"/>
      <c r="EJD39" s="6"/>
      <c r="EJE39" s="6"/>
      <c r="EJF39" s="6"/>
      <c r="EJG39" s="6"/>
      <c r="EJH39" s="6"/>
      <c r="EJI39" s="6"/>
      <c r="EJJ39" s="6"/>
      <c r="EJK39" s="6"/>
      <c r="EJL39" s="6"/>
      <c r="EJM39" s="6"/>
      <c r="EJN39" s="6"/>
      <c r="EJO39" s="6"/>
      <c r="EJP39" s="6"/>
      <c r="EJQ39" s="6"/>
      <c r="EJR39" s="6"/>
      <c r="EJS39" s="6"/>
      <c r="EJT39" s="6"/>
      <c r="EJU39" s="6"/>
      <c r="EJV39" s="6"/>
      <c r="EJW39" s="6"/>
      <c r="EJX39" s="6"/>
      <c r="EJY39" s="6"/>
      <c r="EJZ39" s="6"/>
      <c r="EKA39" s="6"/>
      <c r="EKB39" s="6"/>
      <c r="EKC39" s="6"/>
      <c r="EKD39" s="6"/>
      <c r="EKE39" s="6"/>
      <c r="EKF39" s="6"/>
      <c r="EKG39" s="6"/>
      <c r="EKH39" s="6"/>
      <c r="EKI39" s="6"/>
      <c r="EKJ39" s="6"/>
      <c r="EKK39" s="6"/>
      <c r="EKL39" s="6"/>
      <c r="EKM39" s="6"/>
      <c r="EKN39" s="6"/>
      <c r="EKO39" s="6"/>
      <c r="EKP39" s="6"/>
      <c r="EKQ39" s="6"/>
      <c r="EKR39" s="6"/>
      <c r="EKS39" s="6"/>
      <c r="EKT39" s="6"/>
      <c r="EKU39" s="6"/>
      <c r="EKV39" s="6"/>
      <c r="EKW39" s="6"/>
      <c r="EKX39" s="6"/>
      <c r="EKY39" s="6"/>
      <c r="EKZ39" s="6"/>
      <c r="ELA39" s="6"/>
      <c r="ELB39" s="6"/>
      <c r="ELC39" s="6"/>
      <c r="ELD39" s="6"/>
      <c r="ELE39" s="6"/>
      <c r="ELF39" s="6"/>
      <c r="ELG39" s="6"/>
      <c r="ELH39" s="6"/>
      <c r="ELI39" s="6"/>
      <c r="ELJ39" s="6"/>
      <c r="ELK39" s="6"/>
      <c r="ELL39" s="6"/>
      <c r="ELM39" s="6"/>
      <c r="ELN39" s="6"/>
      <c r="ELO39" s="6"/>
      <c r="ELP39" s="6"/>
      <c r="ELQ39" s="6"/>
      <c r="ELR39" s="6"/>
      <c r="ELS39" s="6"/>
      <c r="ELT39" s="6"/>
      <c r="ELU39" s="6"/>
      <c r="ELV39" s="6"/>
      <c r="ELW39" s="6"/>
      <c r="ELX39" s="6"/>
      <c r="ELY39" s="6"/>
      <c r="ELZ39" s="6"/>
      <c r="EMA39" s="6"/>
      <c r="EMB39" s="6"/>
      <c r="EMC39" s="6"/>
      <c r="EMD39" s="6"/>
      <c r="EME39" s="6"/>
      <c r="EMF39" s="6"/>
      <c r="EMG39" s="6"/>
      <c r="EMH39" s="6"/>
      <c r="EMI39" s="6"/>
      <c r="EMJ39" s="6"/>
      <c r="EMK39" s="6"/>
      <c r="EML39" s="6"/>
      <c r="EMM39" s="6"/>
      <c r="EMN39" s="6"/>
      <c r="EMO39" s="6"/>
      <c r="EMP39" s="6"/>
      <c r="EMQ39" s="6"/>
      <c r="EMR39" s="6"/>
      <c r="EMS39" s="6"/>
      <c r="EMT39" s="6"/>
      <c r="EMU39" s="6"/>
      <c r="EMV39" s="6"/>
      <c r="EMW39" s="6"/>
      <c r="EMX39" s="6"/>
      <c r="EMY39" s="6"/>
      <c r="EMZ39" s="6"/>
      <c r="ENA39" s="6"/>
      <c r="ENB39" s="6"/>
      <c r="ENC39" s="6"/>
      <c r="END39" s="6"/>
      <c r="ENE39" s="6"/>
      <c r="ENF39" s="6"/>
      <c r="ENG39" s="6"/>
      <c r="ENH39" s="6"/>
      <c r="ENI39" s="6"/>
      <c r="ENJ39" s="6"/>
      <c r="ENK39" s="6"/>
      <c r="ENL39" s="6"/>
      <c r="ENM39" s="6"/>
      <c r="ENN39" s="6"/>
      <c r="ENO39" s="6"/>
      <c r="ENP39" s="6"/>
      <c r="ENQ39" s="6"/>
      <c r="ENR39" s="6"/>
      <c r="ENS39" s="6"/>
      <c r="ENT39" s="6"/>
      <c r="ENU39" s="6"/>
      <c r="ENV39" s="6"/>
      <c r="ENW39" s="6"/>
      <c r="ENX39" s="6"/>
      <c r="ENY39" s="6"/>
      <c r="ENZ39" s="6"/>
      <c r="EOA39" s="6"/>
      <c r="EOB39" s="6"/>
      <c r="EOC39" s="6"/>
      <c r="EOD39" s="6"/>
      <c r="EOE39" s="6"/>
      <c r="EOF39" s="6"/>
      <c r="EOG39" s="6"/>
      <c r="EOH39" s="6"/>
      <c r="EOI39" s="6"/>
      <c r="EOJ39" s="6"/>
      <c r="EOK39" s="6"/>
      <c r="EOL39" s="6"/>
      <c r="EOM39" s="6"/>
      <c r="EON39" s="6"/>
      <c r="EOO39" s="6"/>
      <c r="EOP39" s="6"/>
      <c r="EOQ39" s="6"/>
      <c r="EOR39" s="6"/>
      <c r="EOS39" s="6"/>
      <c r="EOT39" s="6"/>
      <c r="EOU39" s="6"/>
      <c r="EOV39" s="6"/>
      <c r="EOW39" s="6"/>
      <c r="EOX39" s="6"/>
      <c r="EOY39" s="6"/>
      <c r="EOZ39" s="6"/>
      <c r="EPA39" s="6"/>
      <c r="EPB39" s="6"/>
      <c r="EPC39" s="6"/>
      <c r="EPD39" s="6"/>
      <c r="EPE39" s="6"/>
      <c r="EPF39" s="6"/>
      <c r="EPG39" s="6"/>
      <c r="EPH39" s="6"/>
      <c r="EPI39" s="6"/>
      <c r="EPJ39" s="6"/>
      <c r="EPK39" s="6"/>
      <c r="EPL39" s="6"/>
      <c r="EPM39" s="6"/>
      <c r="EPN39" s="6"/>
      <c r="EPO39" s="6"/>
      <c r="EPP39" s="6"/>
      <c r="EPQ39" s="6"/>
      <c r="EPR39" s="6"/>
      <c r="EPS39" s="6"/>
      <c r="EPT39" s="6"/>
      <c r="EPU39" s="6"/>
      <c r="EPV39" s="6"/>
      <c r="EPW39" s="6"/>
      <c r="EPX39" s="6"/>
      <c r="EPY39" s="6"/>
      <c r="EPZ39" s="6"/>
      <c r="EQA39" s="6"/>
      <c r="EQB39" s="6"/>
      <c r="EQC39" s="6"/>
      <c r="EQD39" s="6"/>
      <c r="EQE39" s="6"/>
      <c r="EQF39" s="6"/>
      <c r="EQG39" s="6"/>
      <c r="EQH39" s="6"/>
      <c r="EQI39" s="6"/>
      <c r="EQJ39" s="6"/>
      <c r="EQK39" s="6"/>
      <c r="EQL39" s="6"/>
      <c r="EQM39" s="6"/>
      <c r="EQN39" s="6"/>
      <c r="EQO39" s="6"/>
      <c r="EQP39" s="6"/>
      <c r="EQQ39" s="6"/>
      <c r="EQR39" s="6"/>
      <c r="EQS39" s="6"/>
      <c r="EQT39" s="6"/>
      <c r="EQU39" s="6"/>
      <c r="EQV39" s="6"/>
      <c r="EQW39" s="6"/>
      <c r="EQX39" s="6"/>
      <c r="EQY39" s="6"/>
      <c r="EQZ39" s="6"/>
      <c r="ERA39" s="6"/>
      <c r="ERB39" s="6"/>
      <c r="ERC39" s="6"/>
      <c r="ERD39" s="6"/>
      <c r="ERE39" s="6"/>
      <c r="ERF39" s="6"/>
      <c r="ERG39" s="6"/>
      <c r="ERH39" s="6"/>
      <c r="ERI39" s="6"/>
      <c r="ERJ39" s="6"/>
      <c r="ERK39" s="6"/>
      <c r="ERL39" s="6"/>
      <c r="ERM39" s="6"/>
      <c r="ERN39" s="6"/>
      <c r="ERO39" s="6"/>
      <c r="ERP39" s="6"/>
      <c r="ERQ39" s="6"/>
      <c r="ERR39" s="6"/>
      <c r="ERS39" s="6"/>
      <c r="ERT39" s="6"/>
      <c r="ERU39" s="6"/>
      <c r="ERV39" s="6"/>
      <c r="ERW39" s="6"/>
      <c r="ERX39" s="6"/>
      <c r="ERY39" s="6"/>
      <c r="ERZ39" s="6"/>
      <c r="ESA39" s="6"/>
      <c r="ESB39" s="6"/>
      <c r="ESC39" s="6"/>
      <c r="ESD39" s="6"/>
      <c r="ESE39" s="6"/>
      <c r="ESF39" s="6"/>
      <c r="ESG39" s="6"/>
      <c r="ESH39" s="6"/>
      <c r="ESI39" s="6"/>
      <c r="ESJ39" s="6"/>
      <c r="ESK39" s="6"/>
      <c r="ESL39" s="6"/>
      <c r="ESM39" s="6"/>
      <c r="ESN39" s="6"/>
      <c r="ESO39" s="6"/>
      <c r="ESP39" s="6"/>
      <c r="ESQ39" s="6"/>
      <c r="ESR39" s="6"/>
      <c r="ESS39" s="6"/>
      <c r="EST39" s="6"/>
      <c r="ESU39" s="6"/>
      <c r="ESV39" s="6"/>
      <c r="ESW39" s="6"/>
      <c r="ESX39" s="6"/>
      <c r="ESY39" s="6"/>
      <c r="ESZ39" s="6"/>
      <c r="ETA39" s="6"/>
      <c r="ETB39" s="6"/>
      <c r="ETC39" s="6"/>
      <c r="ETD39" s="6"/>
      <c r="ETE39" s="6"/>
      <c r="ETF39" s="6"/>
      <c r="ETG39" s="6"/>
      <c r="ETH39" s="6"/>
      <c r="ETI39" s="6"/>
      <c r="ETJ39" s="6"/>
      <c r="ETK39" s="6"/>
      <c r="ETL39" s="6"/>
      <c r="ETM39" s="6"/>
      <c r="ETN39" s="6"/>
      <c r="ETO39" s="6"/>
      <c r="ETP39" s="6"/>
      <c r="ETQ39" s="6"/>
      <c r="ETR39" s="6"/>
      <c r="ETS39" s="6"/>
      <c r="ETT39" s="6"/>
      <c r="ETU39" s="6"/>
      <c r="ETV39" s="6"/>
      <c r="ETW39" s="6"/>
      <c r="ETX39" s="6"/>
      <c r="ETY39" s="6"/>
      <c r="ETZ39" s="6"/>
      <c r="EUA39" s="6"/>
      <c r="EUB39" s="6"/>
      <c r="EUC39" s="6"/>
      <c r="EUD39" s="6"/>
      <c r="EUE39" s="6"/>
      <c r="EUF39" s="6"/>
      <c r="EUG39" s="6"/>
      <c r="EUH39" s="6"/>
      <c r="EUI39" s="6"/>
      <c r="EUJ39" s="6"/>
      <c r="EUK39" s="6"/>
      <c r="EUL39" s="6"/>
      <c r="EUM39" s="6"/>
      <c r="EUN39" s="6"/>
      <c r="EUO39" s="6"/>
      <c r="EUP39" s="6"/>
      <c r="EUQ39" s="6"/>
      <c r="EUR39" s="6"/>
      <c r="EUS39" s="6"/>
      <c r="EUT39" s="6"/>
      <c r="EUU39" s="6"/>
      <c r="EUV39" s="6"/>
      <c r="EUW39" s="6"/>
      <c r="EUX39" s="6"/>
      <c r="EUY39" s="6"/>
      <c r="EUZ39" s="6"/>
      <c r="EVA39" s="6"/>
      <c r="EVB39" s="6"/>
      <c r="EVC39" s="6"/>
      <c r="EVD39" s="6"/>
      <c r="EVE39" s="6"/>
      <c r="EVF39" s="6"/>
      <c r="EVG39" s="6"/>
      <c r="EVH39" s="6"/>
      <c r="EVI39" s="6"/>
      <c r="EVJ39" s="6"/>
      <c r="EVK39" s="6"/>
      <c r="EVL39" s="6"/>
      <c r="EVM39" s="6"/>
      <c r="EVN39" s="6"/>
      <c r="EVO39" s="6"/>
      <c r="EVP39" s="6"/>
      <c r="EVQ39" s="6"/>
      <c r="EVR39" s="6"/>
      <c r="EVS39" s="6"/>
      <c r="EVT39" s="6"/>
      <c r="EVU39" s="6"/>
      <c r="EVV39" s="6"/>
      <c r="EVW39" s="6"/>
      <c r="EVX39" s="6"/>
      <c r="EVY39" s="6"/>
      <c r="EVZ39" s="6"/>
      <c r="EWA39" s="6"/>
      <c r="EWB39" s="6"/>
      <c r="EWC39" s="6"/>
      <c r="EWD39" s="6"/>
      <c r="EWE39" s="6"/>
      <c r="EWF39" s="6"/>
      <c r="EWG39" s="6"/>
      <c r="EWH39" s="6"/>
      <c r="EWI39" s="6"/>
      <c r="EWJ39" s="6"/>
      <c r="EWK39" s="6"/>
      <c r="EWL39" s="6"/>
      <c r="EWM39" s="6"/>
      <c r="EWN39" s="6"/>
      <c r="EWO39" s="6"/>
      <c r="EWP39" s="6"/>
      <c r="EWQ39" s="6"/>
      <c r="EWR39" s="6"/>
      <c r="EWS39" s="6"/>
      <c r="EWT39" s="6"/>
      <c r="EWU39" s="6"/>
      <c r="EWV39" s="6"/>
      <c r="EWW39" s="6"/>
      <c r="EWX39" s="6"/>
      <c r="EWY39" s="6"/>
      <c r="EWZ39" s="6"/>
      <c r="EXA39" s="6"/>
      <c r="EXB39" s="6"/>
      <c r="EXC39" s="6"/>
      <c r="EXD39" s="6"/>
      <c r="EXE39" s="6"/>
      <c r="EXF39" s="6"/>
      <c r="EXG39" s="6"/>
      <c r="EXH39" s="6"/>
      <c r="EXI39" s="6"/>
      <c r="EXJ39" s="6"/>
      <c r="EXK39" s="6"/>
      <c r="EXL39" s="6"/>
      <c r="EXM39" s="6"/>
      <c r="EXN39" s="6"/>
      <c r="EXO39" s="6"/>
      <c r="EXP39" s="6"/>
      <c r="EXQ39" s="6"/>
      <c r="EXR39" s="6"/>
      <c r="EXS39" s="6"/>
      <c r="EXT39" s="6"/>
      <c r="EXU39" s="6"/>
      <c r="EXV39" s="6"/>
      <c r="EXW39" s="6"/>
      <c r="EXX39" s="6"/>
      <c r="EXY39" s="6"/>
      <c r="EXZ39" s="6"/>
      <c r="EYA39" s="6"/>
      <c r="EYB39" s="6"/>
      <c r="EYC39" s="6"/>
      <c r="EYD39" s="6"/>
      <c r="EYE39" s="6"/>
      <c r="EYF39" s="6"/>
      <c r="EYG39" s="6"/>
      <c r="EYH39" s="6"/>
      <c r="EYI39" s="6"/>
      <c r="EYJ39" s="6"/>
      <c r="EYK39" s="6"/>
      <c r="EYL39" s="6"/>
      <c r="EYM39" s="6"/>
      <c r="EYN39" s="6"/>
      <c r="EYO39" s="6"/>
      <c r="EYP39" s="6"/>
      <c r="EYQ39" s="6"/>
      <c r="EYR39" s="6"/>
      <c r="EYS39" s="6"/>
      <c r="EYT39" s="6"/>
      <c r="EYU39" s="6"/>
      <c r="EYV39" s="6"/>
      <c r="EYW39" s="6"/>
      <c r="EYX39" s="6"/>
      <c r="EYY39" s="6"/>
      <c r="EYZ39" s="6"/>
      <c r="EZA39" s="6"/>
      <c r="EZB39" s="6"/>
      <c r="EZC39" s="6"/>
      <c r="EZD39" s="6"/>
      <c r="EZE39" s="6"/>
      <c r="EZF39" s="6"/>
      <c r="EZG39" s="6"/>
      <c r="EZH39" s="6"/>
      <c r="EZI39" s="6"/>
      <c r="EZJ39" s="6"/>
      <c r="EZK39" s="6"/>
      <c r="EZL39" s="6"/>
      <c r="EZM39" s="6"/>
      <c r="EZN39" s="6"/>
      <c r="EZO39" s="6"/>
      <c r="EZP39" s="6"/>
      <c r="EZQ39" s="6"/>
      <c r="EZR39" s="6"/>
      <c r="EZS39" s="6"/>
      <c r="EZT39" s="6"/>
      <c r="EZU39" s="6"/>
      <c r="EZV39" s="6"/>
      <c r="EZW39" s="6"/>
      <c r="EZX39" s="6"/>
      <c r="EZY39" s="6"/>
      <c r="EZZ39" s="6"/>
      <c r="FAA39" s="6"/>
      <c r="FAB39" s="6"/>
      <c r="FAC39" s="6"/>
      <c r="FAD39" s="6"/>
      <c r="FAE39" s="6"/>
      <c r="FAF39" s="6"/>
      <c r="FAG39" s="6"/>
      <c r="FAH39" s="6"/>
      <c r="FAI39" s="6"/>
      <c r="FAJ39" s="6"/>
      <c r="FAK39" s="6"/>
      <c r="FAL39" s="6"/>
      <c r="FAM39" s="6"/>
      <c r="FAN39" s="6"/>
      <c r="FAO39" s="6"/>
      <c r="FAP39" s="6"/>
      <c r="FAQ39" s="6"/>
      <c r="FAR39" s="6"/>
      <c r="FAS39" s="6"/>
      <c r="FAT39" s="6"/>
      <c r="FAU39" s="6"/>
      <c r="FAV39" s="6"/>
      <c r="FAW39" s="6"/>
      <c r="FAX39" s="6"/>
      <c r="FAY39" s="6"/>
      <c r="FAZ39" s="6"/>
      <c r="FBA39" s="6"/>
      <c r="FBB39" s="6"/>
      <c r="FBC39" s="6"/>
      <c r="FBD39" s="6"/>
      <c r="FBE39" s="6"/>
      <c r="FBF39" s="6"/>
      <c r="FBG39" s="6"/>
      <c r="FBH39" s="6"/>
      <c r="FBI39" s="6"/>
      <c r="FBJ39" s="6"/>
      <c r="FBK39" s="6"/>
      <c r="FBL39" s="6"/>
      <c r="FBM39" s="6"/>
      <c r="FBN39" s="6"/>
      <c r="FBO39" s="6"/>
      <c r="FBP39" s="6"/>
      <c r="FBQ39" s="6"/>
      <c r="FBR39" s="6"/>
      <c r="FBS39" s="6"/>
      <c r="FBT39" s="6"/>
      <c r="FBU39" s="6"/>
      <c r="FBV39" s="6"/>
      <c r="FBW39" s="6"/>
      <c r="FBX39" s="6"/>
      <c r="FBY39" s="6"/>
      <c r="FBZ39" s="6"/>
      <c r="FCA39" s="6"/>
      <c r="FCB39" s="6"/>
      <c r="FCC39" s="6"/>
      <c r="FCD39" s="6"/>
      <c r="FCE39" s="6"/>
      <c r="FCF39" s="6"/>
      <c r="FCG39" s="6"/>
      <c r="FCH39" s="6"/>
      <c r="FCI39" s="6"/>
      <c r="FCJ39" s="6"/>
      <c r="FCK39" s="6"/>
      <c r="FCL39" s="6"/>
      <c r="FCM39" s="6"/>
      <c r="FCN39" s="6"/>
      <c r="FCO39" s="6"/>
      <c r="FCP39" s="6"/>
      <c r="FCQ39" s="6"/>
      <c r="FCR39" s="6"/>
      <c r="FCS39" s="6"/>
      <c r="FCT39" s="6"/>
      <c r="FCU39" s="6"/>
      <c r="FCV39" s="6"/>
      <c r="FCW39" s="6"/>
      <c r="FCX39" s="6"/>
      <c r="FCY39" s="6"/>
      <c r="FCZ39" s="6"/>
      <c r="FDA39" s="6"/>
      <c r="FDB39" s="6"/>
      <c r="FDC39" s="6"/>
      <c r="FDD39" s="6"/>
      <c r="FDE39" s="6"/>
      <c r="FDF39" s="6"/>
      <c r="FDG39" s="6"/>
      <c r="FDH39" s="6"/>
      <c r="FDI39" s="6"/>
      <c r="FDJ39" s="6"/>
      <c r="FDK39" s="6"/>
      <c r="FDL39" s="6"/>
      <c r="FDM39" s="6"/>
      <c r="FDN39" s="6"/>
      <c r="FDO39" s="6"/>
      <c r="FDP39" s="6"/>
      <c r="FDQ39" s="6"/>
      <c r="FDR39" s="6"/>
      <c r="FDS39" s="6"/>
      <c r="FDT39" s="6"/>
      <c r="FDU39" s="6"/>
      <c r="FDV39" s="6"/>
      <c r="FDW39" s="6"/>
      <c r="FDX39" s="6"/>
      <c r="FDY39" s="6"/>
      <c r="FDZ39" s="6"/>
      <c r="FEA39" s="6"/>
      <c r="FEB39" s="6"/>
      <c r="FEC39" s="6"/>
      <c r="FED39" s="6"/>
      <c r="FEE39" s="6"/>
      <c r="FEF39" s="6"/>
      <c r="FEG39" s="6"/>
      <c r="FEH39" s="6"/>
      <c r="FEI39" s="6"/>
      <c r="FEJ39" s="6"/>
      <c r="FEK39" s="6"/>
      <c r="FEL39" s="6"/>
      <c r="FEM39" s="6"/>
      <c r="FEN39" s="6"/>
      <c r="FEO39" s="6"/>
      <c r="FEP39" s="6"/>
      <c r="FEQ39" s="6"/>
      <c r="FER39" s="6"/>
      <c r="FES39" s="6"/>
      <c r="FET39" s="6"/>
      <c r="FEU39" s="6"/>
      <c r="FEV39" s="6"/>
      <c r="FEW39" s="6"/>
      <c r="FEX39" s="6"/>
      <c r="FEY39" s="6"/>
      <c r="FEZ39" s="6"/>
      <c r="FFA39" s="6"/>
      <c r="FFB39" s="6"/>
      <c r="FFC39" s="6"/>
      <c r="FFD39" s="6"/>
      <c r="FFE39" s="6"/>
      <c r="FFF39" s="6"/>
      <c r="FFG39" s="6"/>
      <c r="FFH39" s="6"/>
      <c r="FFI39" s="6"/>
      <c r="FFJ39" s="6"/>
      <c r="FFK39" s="6"/>
      <c r="FFL39" s="6"/>
      <c r="FFM39" s="6"/>
      <c r="FFN39" s="6"/>
      <c r="FFO39" s="6"/>
      <c r="FFP39" s="6"/>
      <c r="FFQ39" s="6"/>
      <c r="FFR39" s="6"/>
      <c r="FFS39" s="6"/>
      <c r="FFT39" s="6"/>
      <c r="FFU39" s="6"/>
      <c r="FFV39" s="6"/>
      <c r="FFW39" s="6"/>
      <c r="FFX39" s="6"/>
      <c r="FFY39" s="6"/>
      <c r="FFZ39" s="6"/>
      <c r="FGA39" s="6"/>
      <c r="FGB39" s="6"/>
      <c r="FGC39" s="6"/>
      <c r="FGD39" s="6"/>
      <c r="FGE39" s="6"/>
      <c r="FGF39" s="6"/>
      <c r="FGG39" s="6"/>
      <c r="FGH39" s="6"/>
      <c r="FGI39" s="6"/>
      <c r="FGJ39" s="6"/>
      <c r="FGK39" s="6"/>
      <c r="FGL39" s="6"/>
      <c r="FGM39" s="6"/>
      <c r="FGN39" s="6"/>
      <c r="FGO39" s="6"/>
      <c r="FGP39" s="6"/>
      <c r="FGQ39" s="6"/>
      <c r="FGR39" s="6"/>
      <c r="FGS39" s="6"/>
      <c r="FGT39" s="6"/>
      <c r="FGU39" s="6"/>
      <c r="FGV39" s="6"/>
      <c r="FGW39" s="6"/>
      <c r="FGX39" s="6"/>
      <c r="FGY39" s="6"/>
      <c r="FGZ39" s="6"/>
      <c r="FHA39" s="6"/>
      <c r="FHB39" s="6"/>
      <c r="FHC39" s="6"/>
      <c r="FHD39" s="6"/>
      <c r="FHE39" s="6"/>
      <c r="FHF39" s="6"/>
      <c r="FHG39" s="6"/>
      <c r="FHH39" s="6"/>
      <c r="FHI39" s="6"/>
      <c r="FHJ39" s="6"/>
      <c r="FHK39" s="6"/>
      <c r="FHL39" s="6"/>
      <c r="FHM39" s="6"/>
      <c r="FHN39" s="6"/>
      <c r="FHO39" s="6"/>
      <c r="FHP39" s="6"/>
      <c r="FHQ39" s="6"/>
      <c r="FHR39" s="6"/>
      <c r="FHS39" s="6"/>
      <c r="FHT39" s="6"/>
      <c r="FHU39" s="6"/>
      <c r="FHV39" s="6"/>
      <c r="FHW39" s="6"/>
      <c r="FHX39" s="6"/>
      <c r="FHY39" s="6"/>
      <c r="FHZ39" s="6"/>
      <c r="FIA39" s="6"/>
      <c r="FIB39" s="6"/>
      <c r="FIC39" s="6"/>
      <c r="FID39" s="6"/>
      <c r="FIE39" s="6"/>
      <c r="FIF39" s="6"/>
      <c r="FIG39" s="6"/>
      <c r="FIH39" s="6"/>
      <c r="FII39" s="6"/>
      <c r="FIJ39" s="6"/>
      <c r="FIK39" s="6"/>
      <c r="FIL39" s="6"/>
      <c r="FIM39" s="6"/>
      <c r="FIN39" s="6"/>
      <c r="FIO39" s="6"/>
      <c r="FIP39" s="6"/>
      <c r="FIQ39" s="6"/>
      <c r="FIR39" s="6"/>
      <c r="FIS39" s="6"/>
      <c r="FIT39" s="6"/>
      <c r="FIU39" s="6"/>
      <c r="FIV39" s="6"/>
      <c r="FIW39" s="6"/>
      <c r="FIX39" s="6"/>
      <c r="FIY39" s="6"/>
      <c r="FIZ39" s="6"/>
      <c r="FJA39" s="6"/>
      <c r="FJB39" s="6"/>
      <c r="FJC39" s="6"/>
      <c r="FJD39" s="6"/>
      <c r="FJE39" s="6"/>
      <c r="FJF39" s="6"/>
      <c r="FJG39" s="6"/>
      <c r="FJH39" s="6"/>
      <c r="FJI39" s="6"/>
      <c r="FJJ39" s="6"/>
      <c r="FJK39" s="6"/>
      <c r="FJL39" s="6"/>
      <c r="FJM39" s="6"/>
      <c r="FJN39" s="6"/>
      <c r="FJO39" s="6"/>
      <c r="FJP39" s="6"/>
      <c r="FJQ39" s="6"/>
      <c r="FJR39" s="6"/>
      <c r="FJS39" s="6"/>
      <c r="FJT39" s="6"/>
      <c r="FJU39" s="6"/>
      <c r="FJV39" s="6"/>
      <c r="FJW39" s="6"/>
      <c r="FJX39" s="6"/>
      <c r="FJY39" s="6"/>
      <c r="FJZ39" s="6"/>
      <c r="FKA39" s="6"/>
      <c r="FKB39" s="6"/>
      <c r="FKC39" s="6"/>
      <c r="FKD39" s="6"/>
      <c r="FKE39" s="6"/>
      <c r="FKF39" s="6"/>
      <c r="FKG39" s="6"/>
      <c r="FKH39" s="6"/>
      <c r="FKI39" s="6"/>
      <c r="FKJ39" s="6"/>
      <c r="FKK39" s="6"/>
      <c r="FKL39" s="6"/>
      <c r="FKM39" s="6"/>
      <c r="FKN39" s="6"/>
      <c r="FKO39" s="6"/>
      <c r="FKP39" s="6"/>
      <c r="FKQ39" s="6"/>
      <c r="FKR39" s="6"/>
      <c r="FKS39" s="6"/>
      <c r="FKT39" s="6"/>
      <c r="FKU39" s="6"/>
      <c r="FKV39" s="6"/>
      <c r="FKW39" s="6"/>
      <c r="FKX39" s="6"/>
      <c r="FKY39" s="6"/>
      <c r="FKZ39" s="6"/>
      <c r="FLA39" s="6"/>
      <c r="FLB39" s="6"/>
      <c r="FLC39" s="6"/>
      <c r="FLD39" s="6"/>
      <c r="FLE39" s="6"/>
      <c r="FLF39" s="6"/>
      <c r="FLG39" s="6"/>
      <c r="FLH39" s="6"/>
      <c r="FLI39" s="6"/>
      <c r="FLJ39" s="6"/>
      <c r="FLK39" s="6"/>
      <c r="FLL39" s="6"/>
      <c r="FLM39" s="6"/>
      <c r="FLN39" s="6"/>
      <c r="FLO39" s="6"/>
      <c r="FLP39" s="6"/>
      <c r="FLQ39" s="6"/>
      <c r="FLR39" s="6"/>
      <c r="FLS39" s="6"/>
      <c r="FLT39" s="6"/>
      <c r="FLU39" s="6"/>
      <c r="FLV39" s="6"/>
      <c r="FLW39" s="6"/>
      <c r="FLX39" s="6"/>
      <c r="FLY39" s="6"/>
      <c r="FLZ39" s="6"/>
      <c r="FMA39" s="6"/>
      <c r="FMB39" s="6"/>
      <c r="FMC39" s="6"/>
      <c r="FMD39" s="6"/>
      <c r="FME39" s="6"/>
      <c r="FMF39" s="6"/>
      <c r="FMG39" s="6"/>
      <c r="FMH39" s="6"/>
      <c r="FMI39" s="6"/>
      <c r="FMJ39" s="6"/>
      <c r="FMK39" s="6"/>
      <c r="FML39" s="6"/>
      <c r="FMM39" s="6"/>
      <c r="FMN39" s="6"/>
      <c r="FMO39" s="6"/>
      <c r="FMP39" s="6"/>
      <c r="FMQ39" s="6"/>
      <c r="FMR39" s="6"/>
      <c r="FMS39" s="6"/>
      <c r="FMT39" s="6"/>
      <c r="FMU39" s="6"/>
      <c r="FMV39" s="6"/>
      <c r="FMW39" s="6"/>
      <c r="FMX39" s="6"/>
      <c r="FMY39" s="6"/>
      <c r="FMZ39" s="6"/>
      <c r="FNA39" s="6"/>
      <c r="FNB39" s="6"/>
      <c r="FNC39" s="6"/>
      <c r="FND39" s="6"/>
      <c r="FNE39" s="6"/>
      <c r="FNF39" s="6"/>
      <c r="FNG39" s="6"/>
      <c r="FNH39" s="6"/>
      <c r="FNI39" s="6"/>
      <c r="FNJ39" s="6"/>
      <c r="FNK39" s="6"/>
      <c r="FNL39" s="6"/>
      <c r="FNM39" s="6"/>
      <c r="FNN39" s="6"/>
      <c r="FNO39" s="6"/>
      <c r="FNP39" s="6"/>
      <c r="FNQ39" s="6"/>
      <c r="FNR39" s="6"/>
      <c r="FNS39" s="6"/>
      <c r="FNT39" s="6"/>
      <c r="FNU39" s="6"/>
      <c r="FNV39" s="6"/>
      <c r="FNW39" s="6"/>
      <c r="FNX39" s="6"/>
      <c r="FNY39" s="6"/>
      <c r="FNZ39" s="6"/>
      <c r="FOA39" s="6"/>
      <c r="FOB39" s="6"/>
      <c r="FOC39" s="6"/>
      <c r="FOD39" s="6"/>
      <c r="FOE39" s="6"/>
      <c r="FOF39" s="6"/>
      <c r="FOG39" s="6"/>
      <c r="FOH39" s="6"/>
      <c r="FOI39" s="6"/>
      <c r="FOJ39" s="6"/>
      <c r="FOK39" s="6"/>
      <c r="FOL39" s="6"/>
      <c r="FOM39" s="6"/>
      <c r="FON39" s="6"/>
      <c r="FOO39" s="6"/>
      <c r="FOP39" s="6"/>
      <c r="FOQ39" s="6"/>
      <c r="FOR39" s="6"/>
      <c r="FOS39" s="6"/>
      <c r="FOT39" s="6"/>
      <c r="FOU39" s="6"/>
      <c r="FOV39" s="6"/>
      <c r="FOW39" s="6"/>
      <c r="FOX39" s="6"/>
      <c r="FOY39" s="6"/>
      <c r="FOZ39" s="6"/>
      <c r="FPA39" s="6"/>
      <c r="FPB39" s="6"/>
      <c r="FPC39" s="6"/>
      <c r="FPD39" s="6"/>
      <c r="FPE39" s="6"/>
      <c r="FPF39" s="6"/>
      <c r="FPG39" s="6"/>
      <c r="FPH39" s="6"/>
      <c r="FPI39" s="6"/>
      <c r="FPJ39" s="6"/>
      <c r="FPK39" s="6"/>
      <c r="FPL39" s="6"/>
      <c r="FPM39" s="6"/>
      <c r="FPN39" s="6"/>
      <c r="FPO39" s="6"/>
      <c r="FPP39" s="6"/>
      <c r="FPQ39" s="6"/>
      <c r="FPR39" s="6"/>
      <c r="FPS39" s="6"/>
      <c r="FPT39" s="6"/>
      <c r="FPU39" s="6"/>
      <c r="FPV39" s="6"/>
      <c r="FPW39" s="6"/>
      <c r="FPX39" s="6"/>
      <c r="FPY39" s="6"/>
      <c r="FPZ39" s="6"/>
      <c r="FQA39" s="6"/>
      <c r="FQB39" s="6"/>
      <c r="FQC39" s="6"/>
      <c r="FQD39" s="6"/>
      <c r="FQE39" s="6"/>
      <c r="FQF39" s="6"/>
      <c r="FQG39" s="6"/>
      <c r="FQH39" s="6"/>
      <c r="FQI39" s="6"/>
      <c r="FQJ39" s="6"/>
      <c r="FQK39" s="6"/>
      <c r="FQL39" s="6"/>
      <c r="FQM39" s="6"/>
      <c r="FQN39" s="6"/>
      <c r="FQO39" s="6"/>
      <c r="FQP39" s="6"/>
      <c r="FQQ39" s="6"/>
      <c r="FQR39" s="6"/>
      <c r="FQS39" s="6"/>
      <c r="FQT39" s="6"/>
      <c r="FQU39" s="6"/>
      <c r="FQV39" s="6"/>
      <c r="FQW39" s="6"/>
      <c r="FQX39" s="6"/>
      <c r="FQY39" s="6"/>
      <c r="FQZ39" s="6"/>
      <c r="FRA39" s="6"/>
      <c r="FRB39" s="6"/>
      <c r="FRC39" s="6"/>
      <c r="FRD39" s="6"/>
      <c r="FRE39" s="6"/>
      <c r="FRF39" s="6"/>
      <c r="FRG39" s="6"/>
      <c r="FRH39" s="6"/>
      <c r="FRI39" s="6"/>
      <c r="FRJ39" s="6"/>
      <c r="FRK39" s="6"/>
      <c r="FRL39" s="6"/>
      <c r="FRM39" s="6"/>
      <c r="FRN39" s="6"/>
      <c r="FRO39" s="6"/>
      <c r="FRP39" s="6"/>
      <c r="FRQ39" s="6"/>
      <c r="FRR39" s="6"/>
      <c r="FRS39" s="6"/>
      <c r="FRT39" s="6"/>
      <c r="FRU39" s="6"/>
      <c r="FRV39" s="6"/>
      <c r="FRW39" s="6"/>
      <c r="FRX39" s="6"/>
      <c r="FRY39" s="6"/>
      <c r="FRZ39" s="6"/>
      <c r="FSA39" s="6"/>
      <c r="FSB39" s="6"/>
      <c r="FSC39" s="6"/>
      <c r="FSD39" s="6"/>
      <c r="FSE39" s="6"/>
      <c r="FSF39" s="6"/>
      <c r="FSG39" s="6"/>
      <c r="FSH39" s="6"/>
      <c r="FSI39" s="6"/>
      <c r="FSJ39" s="6"/>
      <c r="FSK39" s="6"/>
      <c r="FSL39" s="6"/>
      <c r="FSM39" s="6"/>
      <c r="FSN39" s="6"/>
      <c r="FSO39" s="6"/>
      <c r="FSP39" s="6"/>
      <c r="FSQ39" s="6"/>
      <c r="FSR39" s="6"/>
      <c r="FSS39" s="6"/>
      <c r="FST39" s="6"/>
      <c r="FSU39" s="6"/>
      <c r="FSV39" s="6"/>
      <c r="FSW39" s="6"/>
      <c r="FSX39" s="6"/>
      <c r="FSY39" s="6"/>
      <c r="FSZ39" s="6"/>
      <c r="FTA39" s="6"/>
      <c r="FTB39" s="6"/>
      <c r="FTC39" s="6"/>
      <c r="FTD39" s="6"/>
      <c r="FTE39" s="6"/>
      <c r="FTF39" s="6"/>
      <c r="FTG39" s="6"/>
      <c r="FTH39" s="6"/>
      <c r="FTI39" s="6"/>
      <c r="FTJ39" s="6"/>
      <c r="FTK39" s="6"/>
      <c r="FTL39" s="6"/>
      <c r="FTM39" s="6"/>
      <c r="FTN39" s="6"/>
      <c r="FTO39" s="6"/>
      <c r="FTP39" s="6"/>
      <c r="FTQ39" s="6"/>
      <c r="FTR39" s="6"/>
      <c r="FTS39" s="6"/>
      <c r="FTT39" s="6"/>
      <c r="FTU39" s="6"/>
      <c r="FTV39" s="6"/>
      <c r="FTW39" s="6"/>
      <c r="FTX39" s="6"/>
      <c r="FTY39" s="6"/>
      <c r="FTZ39" s="6"/>
      <c r="FUA39" s="6"/>
      <c r="FUB39" s="6"/>
      <c r="FUC39" s="6"/>
      <c r="FUD39" s="6"/>
      <c r="FUE39" s="6"/>
      <c r="FUF39" s="6"/>
      <c r="FUG39" s="6"/>
      <c r="FUH39" s="6"/>
      <c r="FUI39" s="6"/>
      <c r="FUJ39" s="6"/>
      <c r="FUK39" s="6"/>
      <c r="FUL39" s="6"/>
      <c r="FUM39" s="6"/>
      <c r="FUN39" s="6"/>
      <c r="FUO39" s="6"/>
      <c r="FUP39" s="6"/>
      <c r="FUQ39" s="6"/>
      <c r="FUR39" s="6"/>
      <c r="FUS39" s="6"/>
      <c r="FUT39" s="6"/>
      <c r="FUU39" s="6"/>
      <c r="FUV39" s="6"/>
      <c r="FUW39" s="6"/>
      <c r="FUX39" s="6"/>
      <c r="FUY39" s="6"/>
      <c r="FUZ39" s="6"/>
      <c r="FVA39" s="6"/>
      <c r="FVB39" s="6"/>
      <c r="FVC39" s="6"/>
      <c r="FVD39" s="6"/>
      <c r="FVE39" s="6"/>
      <c r="FVF39" s="6"/>
      <c r="FVG39" s="6"/>
      <c r="FVH39" s="6"/>
      <c r="FVI39" s="6"/>
      <c r="FVJ39" s="6"/>
      <c r="FVK39" s="6"/>
      <c r="FVL39" s="6"/>
      <c r="FVM39" s="6"/>
      <c r="FVN39" s="6"/>
      <c r="FVO39" s="6"/>
      <c r="FVP39" s="6"/>
      <c r="FVQ39" s="6"/>
      <c r="FVR39" s="6"/>
      <c r="FVS39" s="6"/>
      <c r="FVT39" s="6"/>
      <c r="FVU39" s="6"/>
      <c r="FVV39" s="6"/>
      <c r="FVW39" s="6"/>
      <c r="FVX39" s="6"/>
      <c r="FVY39" s="6"/>
      <c r="FVZ39" s="6"/>
      <c r="FWA39" s="6"/>
      <c r="FWB39" s="6"/>
      <c r="FWC39" s="6"/>
      <c r="FWD39" s="6"/>
      <c r="FWE39" s="6"/>
      <c r="FWF39" s="6"/>
      <c r="FWG39" s="6"/>
      <c r="FWH39" s="6"/>
      <c r="FWI39" s="6"/>
      <c r="FWJ39" s="6"/>
      <c r="FWK39" s="6"/>
      <c r="FWL39" s="6"/>
      <c r="FWM39" s="6"/>
      <c r="FWN39" s="6"/>
      <c r="FWO39" s="6"/>
      <c r="FWP39" s="6"/>
      <c r="FWQ39" s="6"/>
      <c r="FWR39" s="6"/>
      <c r="FWS39" s="6"/>
      <c r="FWT39" s="6"/>
      <c r="FWU39" s="6"/>
      <c r="FWV39" s="6"/>
      <c r="FWW39" s="6"/>
      <c r="FWX39" s="6"/>
      <c r="FWY39" s="6"/>
      <c r="FWZ39" s="6"/>
      <c r="FXA39" s="6"/>
      <c r="FXB39" s="6"/>
      <c r="FXC39" s="6"/>
      <c r="FXD39" s="6"/>
      <c r="FXE39" s="6"/>
      <c r="FXF39" s="6"/>
      <c r="FXG39" s="6"/>
      <c r="FXH39" s="6"/>
      <c r="FXI39" s="6"/>
      <c r="FXJ39" s="6"/>
      <c r="FXK39" s="6"/>
      <c r="FXL39" s="6"/>
      <c r="FXM39" s="6"/>
      <c r="FXN39" s="6"/>
      <c r="FXO39" s="6"/>
      <c r="FXP39" s="6"/>
      <c r="FXQ39" s="6"/>
      <c r="FXR39" s="6"/>
      <c r="FXS39" s="6"/>
      <c r="FXT39" s="6"/>
      <c r="FXU39" s="6"/>
      <c r="FXV39" s="6"/>
      <c r="FXW39" s="6"/>
      <c r="FXX39" s="6"/>
      <c r="FXY39" s="6"/>
      <c r="FXZ39" s="6"/>
      <c r="FYA39" s="6"/>
      <c r="FYB39" s="6"/>
      <c r="FYC39" s="6"/>
      <c r="FYD39" s="6"/>
      <c r="FYE39" s="6"/>
      <c r="FYF39" s="6"/>
      <c r="FYG39" s="6"/>
      <c r="FYH39" s="6"/>
      <c r="FYI39" s="6"/>
      <c r="FYJ39" s="6"/>
      <c r="FYK39" s="6"/>
      <c r="FYL39" s="6"/>
      <c r="FYM39" s="6"/>
      <c r="FYN39" s="6"/>
      <c r="FYO39" s="6"/>
      <c r="FYP39" s="6"/>
      <c r="FYQ39" s="6"/>
      <c r="FYR39" s="6"/>
      <c r="FYS39" s="6"/>
      <c r="FYT39" s="6"/>
      <c r="FYU39" s="6"/>
      <c r="FYV39" s="6"/>
      <c r="FYW39" s="6"/>
      <c r="FYX39" s="6"/>
      <c r="FYY39" s="6"/>
      <c r="FYZ39" s="6"/>
      <c r="FZA39" s="6"/>
      <c r="FZB39" s="6"/>
      <c r="FZC39" s="6"/>
      <c r="FZD39" s="6"/>
      <c r="FZE39" s="6"/>
      <c r="FZF39" s="6"/>
      <c r="FZG39" s="6"/>
      <c r="FZH39" s="6"/>
      <c r="FZI39" s="6"/>
      <c r="FZJ39" s="6"/>
      <c r="FZK39" s="6"/>
      <c r="FZL39" s="6"/>
      <c r="FZM39" s="6"/>
      <c r="FZN39" s="6"/>
      <c r="FZO39" s="6"/>
      <c r="FZP39" s="6"/>
      <c r="FZQ39" s="6"/>
      <c r="FZR39" s="6"/>
      <c r="FZS39" s="6"/>
      <c r="FZT39" s="6"/>
      <c r="FZU39" s="6"/>
      <c r="FZV39" s="6"/>
      <c r="FZW39" s="6"/>
      <c r="FZX39" s="6"/>
      <c r="FZY39" s="6"/>
      <c r="FZZ39" s="6"/>
      <c r="GAA39" s="6"/>
      <c r="GAB39" s="6"/>
      <c r="GAC39" s="6"/>
      <c r="GAD39" s="6"/>
      <c r="GAE39" s="6"/>
      <c r="GAF39" s="6"/>
      <c r="GAG39" s="6"/>
      <c r="GAH39" s="6"/>
      <c r="GAI39" s="6"/>
      <c r="GAJ39" s="6"/>
      <c r="GAK39" s="6"/>
      <c r="GAL39" s="6"/>
      <c r="GAM39" s="6"/>
      <c r="GAN39" s="6"/>
      <c r="GAO39" s="6"/>
      <c r="GAP39" s="6"/>
      <c r="GAQ39" s="6"/>
      <c r="GAR39" s="6"/>
      <c r="GAS39" s="6"/>
      <c r="GAT39" s="6"/>
      <c r="GAU39" s="6"/>
      <c r="GAV39" s="6"/>
      <c r="GAW39" s="6"/>
      <c r="GAX39" s="6"/>
      <c r="GAY39" s="6"/>
      <c r="GAZ39" s="6"/>
      <c r="GBA39" s="6"/>
      <c r="GBB39" s="6"/>
      <c r="GBC39" s="6"/>
      <c r="GBD39" s="6"/>
      <c r="GBE39" s="6"/>
      <c r="GBF39" s="6"/>
      <c r="GBG39" s="6"/>
      <c r="GBH39" s="6"/>
      <c r="GBI39" s="6"/>
      <c r="GBJ39" s="6"/>
      <c r="GBK39" s="6"/>
      <c r="GBL39" s="6"/>
      <c r="GBM39" s="6"/>
      <c r="GBN39" s="6"/>
      <c r="GBO39" s="6"/>
      <c r="GBP39" s="6"/>
      <c r="GBQ39" s="6"/>
      <c r="GBR39" s="6"/>
      <c r="GBS39" s="6"/>
      <c r="GBT39" s="6"/>
      <c r="GBU39" s="6"/>
      <c r="GBV39" s="6"/>
      <c r="GBW39" s="6"/>
      <c r="GBX39" s="6"/>
      <c r="GBY39" s="6"/>
      <c r="GBZ39" s="6"/>
      <c r="GCA39" s="6"/>
      <c r="GCB39" s="6"/>
      <c r="GCC39" s="6"/>
      <c r="GCD39" s="6"/>
      <c r="GCE39" s="6"/>
      <c r="GCF39" s="6"/>
      <c r="GCG39" s="6"/>
      <c r="GCH39" s="6"/>
      <c r="GCI39" s="6"/>
      <c r="GCJ39" s="6"/>
      <c r="GCK39" s="6"/>
      <c r="GCL39" s="6"/>
      <c r="GCM39" s="6"/>
      <c r="GCN39" s="6"/>
      <c r="GCO39" s="6"/>
      <c r="GCP39" s="6"/>
      <c r="GCQ39" s="6"/>
      <c r="GCR39" s="6"/>
      <c r="GCS39" s="6"/>
      <c r="GCT39" s="6"/>
      <c r="GCU39" s="6"/>
      <c r="GCV39" s="6"/>
      <c r="GCW39" s="6"/>
      <c r="GCX39" s="6"/>
      <c r="GCY39" s="6"/>
      <c r="GCZ39" s="6"/>
      <c r="GDA39" s="6"/>
      <c r="GDB39" s="6"/>
      <c r="GDC39" s="6"/>
      <c r="GDD39" s="6"/>
      <c r="GDE39" s="6"/>
      <c r="GDF39" s="6"/>
      <c r="GDG39" s="6"/>
      <c r="GDH39" s="6"/>
      <c r="GDI39" s="6"/>
      <c r="GDJ39" s="6"/>
      <c r="GDK39" s="6"/>
      <c r="GDL39" s="6"/>
      <c r="GDM39" s="6"/>
      <c r="GDN39" s="6"/>
      <c r="GDO39" s="6"/>
      <c r="GDP39" s="6"/>
      <c r="GDQ39" s="6"/>
      <c r="GDR39" s="6"/>
      <c r="GDS39" s="6"/>
      <c r="GDT39" s="6"/>
      <c r="GDU39" s="6"/>
      <c r="GDV39" s="6"/>
      <c r="GDW39" s="6"/>
      <c r="GDX39" s="6"/>
      <c r="GDY39" s="6"/>
      <c r="GDZ39" s="6"/>
      <c r="GEA39" s="6"/>
      <c r="GEB39" s="6"/>
      <c r="GEC39" s="6"/>
      <c r="GED39" s="6"/>
      <c r="GEE39" s="6"/>
      <c r="GEF39" s="6"/>
      <c r="GEG39" s="6"/>
      <c r="GEH39" s="6"/>
      <c r="GEI39" s="6"/>
      <c r="GEJ39" s="6"/>
      <c r="GEK39" s="6"/>
      <c r="GEL39" s="6"/>
      <c r="GEM39" s="6"/>
      <c r="GEN39" s="6"/>
      <c r="GEO39" s="6"/>
      <c r="GEP39" s="6"/>
      <c r="GEQ39" s="6"/>
      <c r="GER39" s="6"/>
      <c r="GES39" s="6"/>
      <c r="GET39" s="6"/>
      <c r="GEU39" s="6"/>
      <c r="GEV39" s="6"/>
      <c r="GEW39" s="6"/>
      <c r="GEX39" s="6"/>
      <c r="GEY39" s="6"/>
      <c r="GEZ39" s="6"/>
      <c r="GFA39" s="6"/>
      <c r="GFB39" s="6"/>
      <c r="GFC39" s="6"/>
      <c r="GFD39" s="6"/>
      <c r="GFE39" s="6"/>
      <c r="GFF39" s="6"/>
      <c r="GFG39" s="6"/>
      <c r="GFH39" s="6"/>
      <c r="GFI39" s="6"/>
      <c r="GFJ39" s="6"/>
      <c r="GFK39" s="6"/>
      <c r="GFL39" s="6"/>
      <c r="GFM39" s="6"/>
      <c r="GFN39" s="6"/>
      <c r="GFO39" s="6"/>
      <c r="GFP39" s="6"/>
      <c r="GFQ39" s="6"/>
      <c r="GFR39" s="6"/>
      <c r="GFS39" s="6"/>
      <c r="GFT39" s="6"/>
      <c r="GFU39" s="6"/>
      <c r="GFV39" s="6"/>
      <c r="GFW39" s="6"/>
      <c r="GFX39" s="6"/>
      <c r="GFY39" s="6"/>
      <c r="GFZ39" s="6"/>
      <c r="GGA39" s="6"/>
      <c r="GGB39" s="6"/>
      <c r="GGC39" s="6"/>
      <c r="GGD39" s="6"/>
      <c r="GGE39" s="6"/>
      <c r="GGF39" s="6"/>
      <c r="GGG39" s="6"/>
      <c r="GGH39" s="6"/>
      <c r="GGI39" s="6"/>
      <c r="GGJ39" s="6"/>
      <c r="GGK39" s="6"/>
      <c r="GGL39" s="6"/>
      <c r="GGM39" s="6"/>
      <c r="GGN39" s="6"/>
      <c r="GGO39" s="6"/>
      <c r="GGP39" s="6"/>
      <c r="GGQ39" s="6"/>
      <c r="GGR39" s="6"/>
      <c r="GGS39" s="6"/>
      <c r="GGT39" s="6"/>
      <c r="GGU39" s="6"/>
      <c r="GGV39" s="6"/>
      <c r="GGW39" s="6"/>
      <c r="GGX39" s="6"/>
      <c r="GGY39" s="6"/>
      <c r="GGZ39" s="6"/>
      <c r="GHA39" s="6"/>
      <c r="GHB39" s="6"/>
      <c r="GHC39" s="6"/>
      <c r="GHD39" s="6"/>
      <c r="GHE39" s="6"/>
      <c r="GHF39" s="6"/>
      <c r="GHG39" s="6"/>
      <c r="GHH39" s="6"/>
      <c r="GHI39" s="6"/>
      <c r="GHJ39" s="6"/>
      <c r="GHK39" s="6"/>
      <c r="GHL39" s="6"/>
      <c r="GHM39" s="6"/>
      <c r="GHN39" s="6"/>
      <c r="GHO39" s="6"/>
      <c r="GHP39" s="6"/>
      <c r="GHQ39" s="6"/>
      <c r="GHR39" s="6"/>
      <c r="GHS39" s="6"/>
      <c r="GHT39" s="6"/>
      <c r="GHU39" s="6"/>
      <c r="GHV39" s="6"/>
      <c r="GHW39" s="6"/>
      <c r="GHX39" s="6"/>
      <c r="GHY39" s="6"/>
      <c r="GHZ39" s="6"/>
      <c r="GIA39" s="6"/>
      <c r="GIB39" s="6"/>
      <c r="GIC39" s="6"/>
      <c r="GID39" s="6"/>
      <c r="GIE39" s="6"/>
      <c r="GIF39" s="6"/>
      <c r="GIG39" s="6"/>
      <c r="GIH39" s="6"/>
      <c r="GII39" s="6"/>
      <c r="GIJ39" s="6"/>
      <c r="GIK39" s="6"/>
      <c r="GIL39" s="6"/>
      <c r="GIM39" s="6"/>
      <c r="GIN39" s="6"/>
      <c r="GIO39" s="6"/>
      <c r="GIP39" s="6"/>
      <c r="GIQ39" s="6"/>
      <c r="GIR39" s="6"/>
      <c r="GIS39" s="6"/>
      <c r="GIT39" s="6"/>
      <c r="GIU39" s="6"/>
      <c r="GIV39" s="6"/>
      <c r="GIW39" s="6"/>
      <c r="GIX39" s="6"/>
      <c r="GIY39" s="6"/>
      <c r="GIZ39" s="6"/>
      <c r="GJA39" s="6"/>
      <c r="GJB39" s="6"/>
      <c r="GJC39" s="6"/>
      <c r="GJD39" s="6"/>
      <c r="GJE39" s="6"/>
      <c r="GJF39" s="6"/>
      <c r="GJG39" s="6"/>
      <c r="GJH39" s="6"/>
      <c r="GJI39" s="6"/>
      <c r="GJJ39" s="6"/>
      <c r="GJK39" s="6"/>
      <c r="GJL39" s="6"/>
      <c r="GJM39" s="6"/>
      <c r="GJN39" s="6"/>
      <c r="GJO39" s="6"/>
      <c r="GJP39" s="6"/>
      <c r="GJQ39" s="6"/>
      <c r="GJR39" s="6"/>
      <c r="GJS39" s="6"/>
      <c r="GJT39" s="6"/>
      <c r="GJU39" s="6"/>
      <c r="GJV39" s="6"/>
      <c r="GJW39" s="6"/>
      <c r="GJX39" s="6"/>
      <c r="GJY39" s="6"/>
      <c r="GJZ39" s="6"/>
      <c r="GKA39" s="6"/>
      <c r="GKB39" s="6"/>
      <c r="GKC39" s="6"/>
      <c r="GKD39" s="6"/>
      <c r="GKE39" s="6"/>
      <c r="GKF39" s="6"/>
      <c r="GKG39" s="6"/>
      <c r="GKH39" s="6"/>
      <c r="GKI39" s="6"/>
      <c r="GKJ39" s="6"/>
      <c r="GKK39" s="6"/>
      <c r="GKL39" s="6"/>
      <c r="GKM39" s="6"/>
      <c r="GKN39" s="6"/>
      <c r="GKO39" s="6"/>
      <c r="GKP39" s="6"/>
      <c r="GKQ39" s="6"/>
      <c r="GKR39" s="6"/>
      <c r="GKS39" s="6"/>
      <c r="GKT39" s="6"/>
      <c r="GKU39" s="6"/>
      <c r="GKV39" s="6"/>
      <c r="GKW39" s="6"/>
      <c r="GKX39" s="6"/>
      <c r="GKY39" s="6"/>
      <c r="GKZ39" s="6"/>
      <c r="GLA39" s="6"/>
      <c r="GLB39" s="6"/>
      <c r="GLC39" s="6"/>
      <c r="GLD39" s="6"/>
      <c r="GLE39" s="6"/>
      <c r="GLF39" s="6"/>
      <c r="GLG39" s="6"/>
      <c r="GLH39" s="6"/>
      <c r="GLI39" s="6"/>
      <c r="GLJ39" s="6"/>
      <c r="GLK39" s="6"/>
      <c r="GLL39" s="6"/>
      <c r="GLM39" s="6"/>
      <c r="GLN39" s="6"/>
      <c r="GLO39" s="6"/>
      <c r="GLP39" s="6"/>
      <c r="GLQ39" s="6"/>
      <c r="GLR39" s="6"/>
      <c r="GLS39" s="6"/>
      <c r="GLT39" s="6"/>
      <c r="GLU39" s="6"/>
      <c r="GLV39" s="6"/>
      <c r="GLW39" s="6"/>
      <c r="GLX39" s="6"/>
      <c r="GLY39" s="6"/>
      <c r="GLZ39" s="6"/>
      <c r="GMA39" s="6"/>
      <c r="GMB39" s="6"/>
      <c r="GMC39" s="6"/>
      <c r="GMD39" s="6"/>
      <c r="GME39" s="6"/>
      <c r="GMF39" s="6"/>
      <c r="GMG39" s="6"/>
      <c r="GMH39" s="6"/>
      <c r="GMI39" s="6"/>
      <c r="GMJ39" s="6"/>
      <c r="GMK39" s="6"/>
      <c r="GML39" s="6"/>
      <c r="GMM39" s="6"/>
      <c r="GMN39" s="6"/>
      <c r="GMO39" s="6"/>
      <c r="GMP39" s="6"/>
      <c r="GMQ39" s="6"/>
      <c r="GMR39" s="6"/>
      <c r="GMS39" s="6"/>
      <c r="GMT39" s="6"/>
      <c r="GMU39" s="6"/>
      <c r="GMV39" s="6"/>
      <c r="GMW39" s="6"/>
      <c r="GMX39" s="6"/>
      <c r="GMY39" s="6"/>
      <c r="GMZ39" s="6"/>
      <c r="GNA39" s="6"/>
      <c r="GNB39" s="6"/>
      <c r="GNC39" s="6"/>
      <c r="GND39" s="6"/>
      <c r="GNE39" s="6"/>
      <c r="GNF39" s="6"/>
      <c r="GNG39" s="6"/>
      <c r="GNH39" s="6"/>
      <c r="GNI39" s="6"/>
      <c r="GNJ39" s="6"/>
      <c r="GNK39" s="6"/>
      <c r="GNL39" s="6"/>
      <c r="GNM39" s="6"/>
      <c r="GNN39" s="6"/>
      <c r="GNO39" s="6"/>
      <c r="GNP39" s="6"/>
      <c r="GNQ39" s="6"/>
      <c r="GNR39" s="6"/>
      <c r="GNS39" s="6"/>
      <c r="GNT39" s="6"/>
      <c r="GNU39" s="6"/>
      <c r="GNV39" s="6"/>
      <c r="GNW39" s="6"/>
      <c r="GNX39" s="6"/>
      <c r="GNY39" s="6"/>
      <c r="GNZ39" s="6"/>
      <c r="GOA39" s="6"/>
      <c r="GOB39" s="6"/>
      <c r="GOC39" s="6"/>
      <c r="GOD39" s="6"/>
      <c r="GOE39" s="6"/>
      <c r="GOF39" s="6"/>
      <c r="GOG39" s="6"/>
      <c r="GOH39" s="6"/>
      <c r="GOI39" s="6"/>
      <c r="GOJ39" s="6"/>
      <c r="GOK39" s="6"/>
      <c r="GOL39" s="6"/>
      <c r="GOM39" s="6"/>
      <c r="GON39" s="6"/>
      <c r="GOO39" s="6"/>
      <c r="GOP39" s="6"/>
      <c r="GOQ39" s="6"/>
      <c r="GOR39" s="6"/>
      <c r="GOS39" s="6"/>
      <c r="GOT39" s="6"/>
      <c r="GOU39" s="6"/>
      <c r="GOV39" s="6"/>
      <c r="GOW39" s="6"/>
      <c r="GOX39" s="6"/>
      <c r="GOY39" s="6"/>
      <c r="GOZ39" s="6"/>
      <c r="GPA39" s="6"/>
      <c r="GPB39" s="6"/>
      <c r="GPC39" s="6"/>
      <c r="GPD39" s="6"/>
      <c r="GPE39" s="6"/>
      <c r="GPF39" s="6"/>
      <c r="GPG39" s="6"/>
      <c r="GPH39" s="6"/>
      <c r="GPI39" s="6"/>
      <c r="GPJ39" s="6"/>
      <c r="GPK39" s="6"/>
      <c r="GPL39" s="6"/>
      <c r="GPM39" s="6"/>
      <c r="GPN39" s="6"/>
      <c r="GPO39" s="6"/>
      <c r="GPP39" s="6"/>
      <c r="GPQ39" s="6"/>
      <c r="GPR39" s="6"/>
      <c r="GPS39" s="6"/>
      <c r="GPT39" s="6"/>
      <c r="GPU39" s="6"/>
      <c r="GPV39" s="6"/>
      <c r="GPW39" s="6"/>
      <c r="GPX39" s="6"/>
      <c r="GPY39" s="6"/>
      <c r="GPZ39" s="6"/>
      <c r="GQA39" s="6"/>
      <c r="GQB39" s="6"/>
      <c r="GQC39" s="6"/>
      <c r="GQD39" s="6"/>
      <c r="GQE39" s="6"/>
      <c r="GQF39" s="6"/>
      <c r="GQG39" s="6"/>
      <c r="GQH39" s="6"/>
      <c r="GQI39" s="6"/>
      <c r="GQJ39" s="6"/>
      <c r="GQK39" s="6"/>
      <c r="GQL39" s="6"/>
      <c r="GQM39" s="6"/>
      <c r="GQN39" s="6"/>
      <c r="GQO39" s="6"/>
      <c r="GQP39" s="6"/>
      <c r="GQQ39" s="6"/>
      <c r="GQR39" s="6"/>
      <c r="GQS39" s="6"/>
      <c r="GQT39" s="6"/>
      <c r="GQU39" s="6"/>
      <c r="GQV39" s="6"/>
      <c r="GQW39" s="6"/>
      <c r="GQX39" s="6"/>
      <c r="GQY39" s="6"/>
      <c r="GQZ39" s="6"/>
      <c r="GRA39" s="6"/>
      <c r="GRB39" s="6"/>
      <c r="GRC39" s="6"/>
      <c r="GRD39" s="6"/>
      <c r="GRE39" s="6"/>
      <c r="GRF39" s="6"/>
      <c r="GRG39" s="6"/>
      <c r="GRH39" s="6"/>
      <c r="GRI39" s="6"/>
      <c r="GRJ39" s="6"/>
      <c r="GRK39" s="6"/>
      <c r="GRL39" s="6"/>
      <c r="GRM39" s="6"/>
      <c r="GRN39" s="6"/>
      <c r="GRO39" s="6"/>
      <c r="GRP39" s="6"/>
      <c r="GRQ39" s="6"/>
      <c r="GRR39" s="6"/>
      <c r="GRS39" s="6"/>
      <c r="GRT39" s="6"/>
      <c r="GRU39" s="6"/>
      <c r="GRV39" s="6"/>
      <c r="GRW39" s="6"/>
      <c r="GRX39" s="6"/>
      <c r="GRY39" s="6"/>
      <c r="GRZ39" s="6"/>
      <c r="GSA39" s="6"/>
      <c r="GSB39" s="6"/>
      <c r="GSC39" s="6"/>
      <c r="GSD39" s="6"/>
      <c r="GSE39" s="6"/>
      <c r="GSF39" s="6"/>
      <c r="GSG39" s="6"/>
      <c r="GSH39" s="6"/>
      <c r="GSI39" s="6"/>
      <c r="GSJ39" s="6"/>
      <c r="GSK39" s="6"/>
      <c r="GSL39" s="6"/>
      <c r="GSM39" s="6"/>
      <c r="GSN39" s="6"/>
      <c r="GSO39" s="6"/>
      <c r="GSP39" s="6"/>
      <c r="GSQ39" s="6"/>
      <c r="GSR39" s="6"/>
      <c r="GSS39" s="6"/>
      <c r="GST39" s="6"/>
      <c r="GSU39" s="6"/>
      <c r="GSV39" s="6"/>
      <c r="GSW39" s="6"/>
      <c r="GSX39" s="6"/>
      <c r="GSY39" s="6"/>
      <c r="GSZ39" s="6"/>
      <c r="GTA39" s="6"/>
      <c r="GTB39" s="6"/>
      <c r="GTC39" s="6"/>
      <c r="GTD39" s="6"/>
      <c r="GTE39" s="6"/>
      <c r="GTF39" s="6"/>
      <c r="GTG39" s="6"/>
      <c r="GTH39" s="6"/>
      <c r="GTI39" s="6"/>
      <c r="GTJ39" s="6"/>
      <c r="GTK39" s="6"/>
      <c r="GTL39" s="6"/>
      <c r="GTM39" s="6"/>
      <c r="GTN39" s="6"/>
      <c r="GTO39" s="6"/>
      <c r="GTP39" s="6"/>
      <c r="GTQ39" s="6"/>
      <c r="GTR39" s="6"/>
      <c r="GTS39" s="6"/>
      <c r="GTT39" s="6"/>
      <c r="GTU39" s="6"/>
      <c r="GTV39" s="6"/>
      <c r="GTW39" s="6"/>
      <c r="GTX39" s="6"/>
      <c r="GTY39" s="6"/>
      <c r="GTZ39" s="6"/>
      <c r="GUA39" s="6"/>
      <c r="GUB39" s="6"/>
      <c r="GUC39" s="6"/>
      <c r="GUD39" s="6"/>
      <c r="GUE39" s="6"/>
      <c r="GUF39" s="6"/>
      <c r="GUG39" s="6"/>
      <c r="GUH39" s="6"/>
      <c r="GUI39" s="6"/>
      <c r="GUJ39" s="6"/>
      <c r="GUK39" s="6"/>
      <c r="GUL39" s="6"/>
      <c r="GUM39" s="6"/>
      <c r="GUN39" s="6"/>
      <c r="GUO39" s="6"/>
      <c r="GUP39" s="6"/>
      <c r="GUQ39" s="6"/>
      <c r="GUR39" s="6"/>
      <c r="GUS39" s="6"/>
      <c r="GUT39" s="6"/>
      <c r="GUU39" s="6"/>
      <c r="GUV39" s="6"/>
      <c r="GUW39" s="6"/>
      <c r="GUX39" s="6"/>
      <c r="GUY39" s="6"/>
      <c r="GUZ39" s="6"/>
      <c r="GVA39" s="6"/>
      <c r="GVB39" s="6"/>
      <c r="GVC39" s="6"/>
      <c r="GVD39" s="6"/>
      <c r="GVE39" s="6"/>
      <c r="GVF39" s="6"/>
      <c r="GVG39" s="6"/>
      <c r="GVH39" s="6"/>
      <c r="GVI39" s="6"/>
      <c r="GVJ39" s="6"/>
      <c r="GVK39" s="6"/>
      <c r="GVL39" s="6"/>
      <c r="GVM39" s="6"/>
      <c r="GVN39" s="6"/>
      <c r="GVO39" s="6"/>
      <c r="GVP39" s="6"/>
      <c r="GVQ39" s="6"/>
      <c r="GVR39" s="6"/>
      <c r="GVS39" s="6"/>
      <c r="GVT39" s="6"/>
      <c r="GVU39" s="6"/>
      <c r="GVV39" s="6"/>
      <c r="GVW39" s="6"/>
      <c r="GVX39" s="6"/>
      <c r="GVY39" s="6"/>
      <c r="GVZ39" s="6"/>
      <c r="GWA39" s="6"/>
      <c r="GWB39" s="6"/>
      <c r="GWC39" s="6"/>
      <c r="GWD39" s="6"/>
      <c r="GWE39" s="6"/>
      <c r="GWF39" s="6"/>
      <c r="GWG39" s="6"/>
      <c r="GWH39" s="6"/>
      <c r="GWI39" s="6"/>
      <c r="GWJ39" s="6"/>
      <c r="GWK39" s="6"/>
      <c r="GWL39" s="6"/>
      <c r="GWM39" s="6"/>
      <c r="GWN39" s="6"/>
      <c r="GWO39" s="6"/>
      <c r="GWP39" s="6"/>
      <c r="GWQ39" s="6"/>
      <c r="GWR39" s="6"/>
      <c r="GWS39" s="6"/>
      <c r="GWT39" s="6"/>
      <c r="GWU39" s="6"/>
      <c r="GWV39" s="6"/>
      <c r="GWW39" s="6"/>
      <c r="GWX39" s="6"/>
      <c r="GWY39" s="6"/>
      <c r="GWZ39" s="6"/>
      <c r="GXA39" s="6"/>
      <c r="GXB39" s="6"/>
      <c r="GXC39" s="6"/>
      <c r="GXD39" s="6"/>
      <c r="GXE39" s="6"/>
      <c r="GXF39" s="6"/>
      <c r="GXG39" s="6"/>
      <c r="GXH39" s="6"/>
      <c r="GXI39" s="6"/>
      <c r="GXJ39" s="6"/>
      <c r="GXK39" s="6"/>
      <c r="GXL39" s="6"/>
      <c r="GXM39" s="6"/>
      <c r="GXN39" s="6"/>
      <c r="GXO39" s="6"/>
      <c r="GXP39" s="6"/>
      <c r="GXQ39" s="6"/>
      <c r="GXR39" s="6"/>
      <c r="GXS39" s="6"/>
      <c r="GXT39" s="6"/>
      <c r="GXU39" s="6"/>
      <c r="GXV39" s="6"/>
      <c r="GXW39" s="6"/>
      <c r="GXX39" s="6"/>
      <c r="GXY39" s="6"/>
      <c r="GXZ39" s="6"/>
      <c r="GYA39" s="6"/>
      <c r="GYB39" s="6"/>
      <c r="GYC39" s="6"/>
      <c r="GYD39" s="6"/>
      <c r="GYE39" s="6"/>
      <c r="GYF39" s="6"/>
      <c r="GYG39" s="6"/>
      <c r="GYH39" s="6"/>
      <c r="GYI39" s="6"/>
      <c r="GYJ39" s="6"/>
      <c r="GYK39" s="6"/>
      <c r="GYL39" s="6"/>
      <c r="GYM39" s="6"/>
      <c r="GYN39" s="6"/>
      <c r="GYO39" s="6"/>
      <c r="GYP39" s="6"/>
      <c r="GYQ39" s="6"/>
      <c r="GYR39" s="6"/>
      <c r="GYS39" s="6"/>
      <c r="GYT39" s="6"/>
      <c r="GYU39" s="6"/>
      <c r="GYV39" s="6"/>
      <c r="GYW39" s="6"/>
      <c r="GYX39" s="6"/>
      <c r="GYY39" s="6"/>
      <c r="GYZ39" s="6"/>
      <c r="GZA39" s="6"/>
      <c r="GZB39" s="6"/>
      <c r="GZC39" s="6"/>
      <c r="GZD39" s="6"/>
      <c r="GZE39" s="6"/>
      <c r="GZF39" s="6"/>
      <c r="GZG39" s="6"/>
      <c r="GZH39" s="6"/>
      <c r="GZI39" s="6"/>
      <c r="GZJ39" s="6"/>
      <c r="GZK39" s="6"/>
      <c r="GZL39" s="6"/>
      <c r="GZM39" s="6"/>
      <c r="GZN39" s="6"/>
      <c r="GZO39" s="6"/>
      <c r="GZP39" s="6"/>
      <c r="GZQ39" s="6"/>
      <c r="GZR39" s="6"/>
      <c r="GZS39" s="6"/>
      <c r="GZT39" s="6"/>
      <c r="GZU39" s="6"/>
      <c r="GZV39" s="6"/>
      <c r="GZW39" s="6"/>
      <c r="GZX39" s="6"/>
      <c r="GZY39" s="6"/>
      <c r="GZZ39" s="6"/>
      <c r="HAA39" s="6"/>
      <c r="HAB39" s="6"/>
      <c r="HAC39" s="6"/>
      <c r="HAD39" s="6"/>
      <c r="HAE39" s="6"/>
      <c r="HAF39" s="6"/>
      <c r="HAG39" s="6"/>
      <c r="HAH39" s="6"/>
      <c r="HAI39" s="6"/>
      <c r="HAJ39" s="6"/>
      <c r="HAK39" s="6"/>
      <c r="HAL39" s="6"/>
      <c r="HAM39" s="6"/>
      <c r="HAN39" s="6"/>
      <c r="HAO39" s="6"/>
      <c r="HAP39" s="6"/>
      <c r="HAQ39" s="6"/>
      <c r="HAR39" s="6"/>
      <c r="HAS39" s="6"/>
      <c r="HAT39" s="6"/>
      <c r="HAU39" s="6"/>
      <c r="HAV39" s="6"/>
      <c r="HAW39" s="6"/>
      <c r="HAX39" s="6"/>
      <c r="HAY39" s="6"/>
      <c r="HAZ39" s="6"/>
      <c r="HBA39" s="6"/>
      <c r="HBB39" s="6"/>
      <c r="HBC39" s="6"/>
      <c r="HBD39" s="6"/>
      <c r="HBE39" s="6"/>
      <c r="HBF39" s="6"/>
      <c r="HBG39" s="6"/>
      <c r="HBH39" s="6"/>
      <c r="HBI39" s="6"/>
      <c r="HBJ39" s="6"/>
      <c r="HBK39" s="6"/>
      <c r="HBL39" s="6"/>
      <c r="HBM39" s="6"/>
      <c r="HBN39" s="6"/>
      <c r="HBO39" s="6"/>
      <c r="HBP39" s="6"/>
      <c r="HBQ39" s="6"/>
      <c r="HBR39" s="6"/>
      <c r="HBS39" s="6"/>
      <c r="HBT39" s="6"/>
      <c r="HBU39" s="6"/>
      <c r="HBV39" s="6"/>
      <c r="HBW39" s="6"/>
      <c r="HBX39" s="6"/>
      <c r="HBY39" s="6"/>
      <c r="HBZ39" s="6"/>
      <c r="HCA39" s="6"/>
      <c r="HCB39" s="6"/>
      <c r="HCC39" s="6"/>
      <c r="HCD39" s="6"/>
      <c r="HCE39" s="6"/>
      <c r="HCF39" s="6"/>
      <c r="HCG39" s="6"/>
      <c r="HCH39" s="6"/>
      <c r="HCI39" s="6"/>
      <c r="HCJ39" s="6"/>
      <c r="HCK39" s="6"/>
      <c r="HCL39" s="6"/>
      <c r="HCM39" s="6"/>
      <c r="HCN39" s="6"/>
      <c r="HCO39" s="6"/>
      <c r="HCP39" s="6"/>
      <c r="HCQ39" s="6"/>
      <c r="HCR39" s="6"/>
      <c r="HCS39" s="6"/>
      <c r="HCT39" s="6"/>
      <c r="HCU39" s="6"/>
      <c r="HCV39" s="6"/>
      <c r="HCW39" s="6"/>
      <c r="HCX39" s="6"/>
      <c r="HCY39" s="6"/>
      <c r="HCZ39" s="6"/>
      <c r="HDA39" s="6"/>
      <c r="HDB39" s="6"/>
      <c r="HDC39" s="6"/>
      <c r="HDD39" s="6"/>
      <c r="HDE39" s="6"/>
      <c r="HDF39" s="6"/>
      <c r="HDG39" s="6"/>
      <c r="HDH39" s="6"/>
      <c r="HDI39" s="6"/>
      <c r="HDJ39" s="6"/>
      <c r="HDK39" s="6"/>
      <c r="HDL39" s="6"/>
      <c r="HDM39" s="6"/>
      <c r="HDN39" s="6"/>
      <c r="HDO39" s="6"/>
      <c r="HDP39" s="6"/>
      <c r="HDQ39" s="6"/>
      <c r="HDR39" s="6"/>
      <c r="HDS39" s="6"/>
      <c r="HDT39" s="6"/>
      <c r="HDU39" s="6"/>
      <c r="HDV39" s="6"/>
      <c r="HDW39" s="6"/>
      <c r="HDX39" s="6"/>
      <c r="HDY39" s="6"/>
      <c r="HDZ39" s="6"/>
      <c r="HEA39" s="6"/>
      <c r="HEB39" s="6"/>
      <c r="HEC39" s="6"/>
      <c r="HED39" s="6"/>
      <c r="HEE39" s="6"/>
      <c r="HEF39" s="6"/>
      <c r="HEG39" s="6"/>
      <c r="HEH39" s="6"/>
      <c r="HEI39" s="6"/>
      <c r="HEJ39" s="6"/>
      <c r="HEK39" s="6"/>
      <c r="HEL39" s="6"/>
      <c r="HEM39" s="6"/>
      <c r="HEN39" s="6"/>
      <c r="HEO39" s="6"/>
      <c r="HEP39" s="6"/>
      <c r="HEQ39" s="6"/>
      <c r="HER39" s="6"/>
      <c r="HES39" s="6"/>
      <c r="HET39" s="6"/>
      <c r="HEU39" s="6"/>
      <c r="HEV39" s="6"/>
      <c r="HEW39" s="6"/>
      <c r="HEX39" s="6"/>
      <c r="HEY39" s="6"/>
      <c r="HEZ39" s="6"/>
      <c r="HFA39" s="6"/>
      <c r="HFB39" s="6"/>
      <c r="HFC39" s="6"/>
      <c r="HFD39" s="6"/>
      <c r="HFE39" s="6"/>
      <c r="HFF39" s="6"/>
      <c r="HFG39" s="6"/>
      <c r="HFH39" s="6"/>
      <c r="HFI39" s="6"/>
      <c r="HFJ39" s="6"/>
      <c r="HFK39" s="6"/>
      <c r="HFL39" s="6"/>
      <c r="HFM39" s="6"/>
      <c r="HFN39" s="6"/>
      <c r="HFO39" s="6"/>
      <c r="HFP39" s="6"/>
      <c r="HFQ39" s="6"/>
      <c r="HFR39" s="6"/>
      <c r="HFS39" s="6"/>
      <c r="HFT39" s="6"/>
      <c r="HFU39" s="6"/>
      <c r="HFV39" s="6"/>
      <c r="HFW39" s="6"/>
      <c r="HFX39" s="6"/>
      <c r="HFY39" s="6"/>
      <c r="HFZ39" s="6"/>
      <c r="HGA39" s="6"/>
      <c r="HGB39" s="6"/>
      <c r="HGC39" s="6"/>
      <c r="HGD39" s="6"/>
      <c r="HGE39" s="6"/>
      <c r="HGF39" s="6"/>
      <c r="HGG39" s="6"/>
      <c r="HGH39" s="6"/>
      <c r="HGI39" s="6"/>
      <c r="HGJ39" s="6"/>
      <c r="HGK39" s="6"/>
      <c r="HGL39" s="6"/>
      <c r="HGM39" s="6"/>
      <c r="HGN39" s="6"/>
      <c r="HGO39" s="6"/>
      <c r="HGP39" s="6"/>
      <c r="HGQ39" s="6"/>
      <c r="HGR39" s="6"/>
      <c r="HGS39" s="6"/>
      <c r="HGT39" s="6"/>
      <c r="HGU39" s="6"/>
      <c r="HGV39" s="6"/>
      <c r="HGW39" s="6"/>
      <c r="HGX39" s="6"/>
      <c r="HGY39" s="6"/>
      <c r="HGZ39" s="6"/>
      <c r="HHA39" s="6"/>
      <c r="HHB39" s="6"/>
      <c r="HHC39" s="6"/>
      <c r="HHD39" s="6"/>
      <c r="HHE39" s="6"/>
      <c r="HHF39" s="6"/>
      <c r="HHG39" s="6"/>
      <c r="HHH39" s="6"/>
      <c r="HHI39" s="6"/>
      <c r="HHJ39" s="6"/>
      <c r="HHK39" s="6"/>
      <c r="HHL39" s="6"/>
      <c r="HHM39" s="6"/>
      <c r="HHN39" s="6"/>
      <c r="HHO39" s="6"/>
      <c r="HHP39" s="6"/>
      <c r="HHQ39" s="6"/>
      <c r="HHR39" s="6"/>
      <c r="HHS39" s="6"/>
      <c r="HHT39" s="6"/>
      <c r="HHU39" s="6"/>
      <c r="HHV39" s="6"/>
      <c r="HHW39" s="6"/>
      <c r="HHX39" s="6"/>
      <c r="HHY39" s="6"/>
      <c r="HHZ39" s="6"/>
      <c r="HIA39" s="6"/>
      <c r="HIB39" s="6"/>
      <c r="HIC39" s="6"/>
      <c r="HID39" s="6"/>
      <c r="HIE39" s="6"/>
      <c r="HIF39" s="6"/>
      <c r="HIG39" s="6"/>
      <c r="HIH39" s="6"/>
      <c r="HII39" s="6"/>
      <c r="HIJ39" s="6"/>
      <c r="HIK39" s="6"/>
      <c r="HIL39" s="6"/>
      <c r="HIM39" s="6"/>
      <c r="HIN39" s="6"/>
      <c r="HIO39" s="6"/>
      <c r="HIP39" s="6"/>
      <c r="HIQ39" s="6"/>
      <c r="HIR39" s="6"/>
      <c r="HIS39" s="6"/>
      <c r="HIT39" s="6"/>
      <c r="HIU39" s="6"/>
      <c r="HIV39" s="6"/>
      <c r="HIW39" s="6"/>
      <c r="HIX39" s="6"/>
      <c r="HIY39" s="6"/>
      <c r="HIZ39" s="6"/>
      <c r="HJA39" s="6"/>
      <c r="HJB39" s="6"/>
      <c r="HJC39" s="6"/>
      <c r="HJD39" s="6"/>
      <c r="HJE39" s="6"/>
      <c r="HJF39" s="6"/>
      <c r="HJG39" s="6"/>
      <c r="HJH39" s="6"/>
      <c r="HJI39" s="6"/>
      <c r="HJJ39" s="6"/>
      <c r="HJK39" s="6"/>
      <c r="HJL39" s="6"/>
      <c r="HJM39" s="6"/>
      <c r="HJN39" s="6"/>
      <c r="HJO39" s="6"/>
      <c r="HJP39" s="6"/>
      <c r="HJQ39" s="6"/>
      <c r="HJR39" s="6"/>
      <c r="HJS39" s="6"/>
      <c r="HJT39" s="6"/>
      <c r="HJU39" s="6"/>
      <c r="HJV39" s="6"/>
      <c r="HJW39" s="6"/>
      <c r="HJX39" s="6"/>
      <c r="HJY39" s="6"/>
      <c r="HJZ39" s="6"/>
      <c r="HKA39" s="6"/>
      <c r="HKB39" s="6"/>
      <c r="HKC39" s="6"/>
      <c r="HKD39" s="6"/>
      <c r="HKE39" s="6"/>
      <c r="HKF39" s="6"/>
      <c r="HKG39" s="6"/>
      <c r="HKH39" s="6"/>
      <c r="HKI39" s="6"/>
      <c r="HKJ39" s="6"/>
      <c r="HKK39" s="6"/>
      <c r="HKL39" s="6"/>
      <c r="HKM39" s="6"/>
      <c r="HKN39" s="6"/>
      <c r="HKO39" s="6"/>
      <c r="HKP39" s="6"/>
      <c r="HKQ39" s="6"/>
      <c r="HKR39" s="6"/>
      <c r="HKS39" s="6"/>
      <c r="HKT39" s="6"/>
      <c r="HKU39" s="6"/>
      <c r="HKV39" s="6"/>
      <c r="HKW39" s="6"/>
      <c r="HKX39" s="6"/>
      <c r="HKY39" s="6"/>
      <c r="HKZ39" s="6"/>
      <c r="HLA39" s="6"/>
      <c r="HLB39" s="6"/>
      <c r="HLC39" s="6"/>
      <c r="HLD39" s="6"/>
      <c r="HLE39" s="6"/>
      <c r="HLF39" s="6"/>
      <c r="HLG39" s="6"/>
      <c r="HLH39" s="6"/>
      <c r="HLI39" s="6"/>
      <c r="HLJ39" s="6"/>
      <c r="HLK39" s="6"/>
      <c r="HLL39" s="6"/>
      <c r="HLM39" s="6"/>
      <c r="HLN39" s="6"/>
      <c r="HLO39" s="6"/>
      <c r="HLP39" s="6"/>
      <c r="HLQ39" s="6"/>
      <c r="HLR39" s="6"/>
      <c r="HLS39" s="6"/>
      <c r="HLT39" s="6"/>
      <c r="HLU39" s="6"/>
      <c r="HLV39" s="6"/>
      <c r="HLW39" s="6"/>
      <c r="HLX39" s="6"/>
      <c r="HLY39" s="6"/>
      <c r="HLZ39" s="6"/>
      <c r="HMA39" s="6"/>
      <c r="HMB39" s="6"/>
      <c r="HMC39" s="6"/>
      <c r="HMD39" s="6"/>
      <c r="HME39" s="6"/>
      <c r="HMF39" s="6"/>
      <c r="HMG39" s="6"/>
      <c r="HMH39" s="6"/>
      <c r="HMI39" s="6"/>
      <c r="HMJ39" s="6"/>
      <c r="HMK39" s="6"/>
      <c r="HML39" s="6"/>
      <c r="HMM39" s="6"/>
      <c r="HMN39" s="6"/>
      <c r="HMO39" s="6"/>
      <c r="HMP39" s="6"/>
      <c r="HMQ39" s="6"/>
      <c r="HMR39" s="6"/>
      <c r="HMS39" s="6"/>
      <c r="HMT39" s="6"/>
      <c r="HMU39" s="6"/>
      <c r="HMV39" s="6"/>
      <c r="HMW39" s="6"/>
      <c r="HMX39" s="6"/>
      <c r="HMY39" s="6"/>
      <c r="HMZ39" s="6"/>
      <c r="HNA39" s="6"/>
      <c r="HNB39" s="6"/>
      <c r="HNC39" s="6"/>
      <c r="HND39" s="6"/>
      <c r="HNE39" s="6"/>
      <c r="HNF39" s="6"/>
      <c r="HNG39" s="6"/>
      <c r="HNH39" s="6"/>
      <c r="HNI39" s="6"/>
      <c r="HNJ39" s="6"/>
      <c r="HNK39" s="6"/>
      <c r="HNL39" s="6"/>
      <c r="HNM39" s="6"/>
      <c r="HNN39" s="6"/>
      <c r="HNO39" s="6"/>
      <c r="HNP39" s="6"/>
      <c r="HNQ39" s="6"/>
      <c r="HNR39" s="6"/>
      <c r="HNS39" s="6"/>
      <c r="HNT39" s="6"/>
      <c r="HNU39" s="6"/>
      <c r="HNV39" s="6"/>
      <c r="HNW39" s="6"/>
      <c r="HNX39" s="6"/>
      <c r="HNY39" s="6"/>
      <c r="HNZ39" s="6"/>
      <c r="HOA39" s="6"/>
      <c r="HOB39" s="6"/>
      <c r="HOC39" s="6"/>
      <c r="HOD39" s="6"/>
      <c r="HOE39" s="6"/>
      <c r="HOF39" s="6"/>
      <c r="HOG39" s="6"/>
      <c r="HOH39" s="6"/>
      <c r="HOI39" s="6"/>
      <c r="HOJ39" s="6"/>
      <c r="HOK39" s="6"/>
      <c r="HOL39" s="6"/>
      <c r="HOM39" s="6"/>
      <c r="HON39" s="6"/>
      <c r="HOO39" s="6"/>
      <c r="HOP39" s="6"/>
      <c r="HOQ39" s="6"/>
      <c r="HOR39" s="6"/>
      <c r="HOS39" s="6"/>
      <c r="HOT39" s="6"/>
      <c r="HOU39" s="6"/>
      <c r="HOV39" s="6"/>
      <c r="HOW39" s="6"/>
      <c r="HOX39" s="6"/>
      <c r="HOY39" s="6"/>
      <c r="HOZ39" s="6"/>
      <c r="HPA39" s="6"/>
      <c r="HPB39" s="6"/>
      <c r="HPC39" s="6"/>
      <c r="HPD39" s="6"/>
      <c r="HPE39" s="6"/>
      <c r="HPF39" s="6"/>
      <c r="HPG39" s="6"/>
      <c r="HPH39" s="6"/>
      <c r="HPI39" s="6"/>
      <c r="HPJ39" s="6"/>
      <c r="HPK39" s="6"/>
      <c r="HPL39" s="6"/>
      <c r="HPM39" s="6"/>
      <c r="HPN39" s="6"/>
      <c r="HPO39" s="6"/>
      <c r="HPP39" s="6"/>
      <c r="HPQ39" s="6"/>
      <c r="HPR39" s="6"/>
      <c r="HPS39" s="6"/>
      <c r="HPT39" s="6"/>
      <c r="HPU39" s="6"/>
      <c r="HPV39" s="6"/>
      <c r="HPW39" s="6"/>
      <c r="HPX39" s="6"/>
      <c r="HPY39" s="6"/>
      <c r="HPZ39" s="6"/>
      <c r="HQA39" s="6"/>
      <c r="HQB39" s="6"/>
      <c r="HQC39" s="6"/>
      <c r="HQD39" s="6"/>
      <c r="HQE39" s="6"/>
      <c r="HQF39" s="6"/>
      <c r="HQG39" s="6"/>
      <c r="HQH39" s="6"/>
      <c r="HQI39" s="6"/>
      <c r="HQJ39" s="6"/>
      <c r="HQK39" s="6"/>
      <c r="HQL39" s="6"/>
      <c r="HQM39" s="6"/>
      <c r="HQN39" s="6"/>
      <c r="HQO39" s="6"/>
      <c r="HQP39" s="6"/>
      <c r="HQQ39" s="6"/>
      <c r="HQR39" s="6"/>
      <c r="HQS39" s="6"/>
      <c r="HQT39" s="6"/>
      <c r="HQU39" s="6"/>
      <c r="HQV39" s="6"/>
      <c r="HQW39" s="6"/>
      <c r="HQX39" s="6"/>
      <c r="HQY39" s="6"/>
      <c r="HQZ39" s="6"/>
      <c r="HRA39" s="6"/>
      <c r="HRB39" s="6"/>
      <c r="HRC39" s="6"/>
      <c r="HRD39" s="6"/>
      <c r="HRE39" s="6"/>
      <c r="HRF39" s="6"/>
      <c r="HRG39" s="6"/>
      <c r="HRH39" s="6"/>
      <c r="HRI39" s="6"/>
      <c r="HRJ39" s="6"/>
      <c r="HRK39" s="6"/>
      <c r="HRL39" s="6"/>
      <c r="HRM39" s="6"/>
      <c r="HRN39" s="6"/>
      <c r="HRO39" s="6"/>
      <c r="HRP39" s="6"/>
      <c r="HRQ39" s="6"/>
      <c r="HRR39" s="6"/>
      <c r="HRS39" s="6"/>
      <c r="HRT39" s="6"/>
      <c r="HRU39" s="6"/>
      <c r="HRV39" s="6"/>
      <c r="HRW39" s="6"/>
      <c r="HRX39" s="6"/>
      <c r="HRY39" s="6"/>
      <c r="HRZ39" s="6"/>
      <c r="HSA39" s="6"/>
      <c r="HSB39" s="6"/>
      <c r="HSC39" s="6"/>
      <c r="HSD39" s="6"/>
      <c r="HSE39" s="6"/>
      <c r="HSF39" s="6"/>
      <c r="HSG39" s="6"/>
      <c r="HSH39" s="6"/>
      <c r="HSI39" s="6"/>
      <c r="HSJ39" s="6"/>
      <c r="HSK39" s="6"/>
      <c r="HSL39" s="6"/>
      <c r="HSM39" s="6"/>
      <c r="HSN39" s="6"/>
      <c r="HSO39" s="6"/>
      <c r="HSP39" s="6"/>
      <c r="HSQ39" s="6"/>
      <c r="HSR39" s="6"/>
      <c r="HSS39" s="6"/>
      <c r="HST39" s="6"/>
      <c r="HSU39" s="6"/>
      <c r="HSV39" s="6"/>
      <c r="HSW39" s="6"/>
      <c r="HSX39" s="6"/>
      <c r="HSY39" s="6"/>
      <c r="HSZ39" s="6"/>
      <c r="HTA39" s="6"/>
      <c r="HTB39" s="6"/>
      <c r="HTC39" s="6"/>
      <c r="HTD39" s="6"/>
      <c r="HTE39" s="6"/>
      <c r="HTF39" s="6"/>
      <c r="HTG39" s="6"/>
      <c r="HTH39" s="6"/>
      <c r="HTI39" s="6"/>
      <c r="HTJ39" s="6"/>
      <c r="HTK39" s="6"/>
      <c r="HTL39" s="6"/>
      <c r="HTM39" s="6"/>
      <c r="HTN39" s="6"/>
      <c r="HTO39" s="6"/>
      <c r="HTP39" s="6"/>
      <c r="HTQ39" s="6"/>
      <c r="HTR39" s="6"/>
      <c r="HTS39" s="6"/>
      <c r="HTT39" s="6"/>
      <c r="HTU39" s="6"/>
      <c r="HTV39" s="6"/>
      <c r="HTW39" s="6"/>
      <c r="HTX39" s="6"/>
      <c r="HTY39" s="6"/>
      <c r="HTZ39" s="6"/>
      <c r="HUA39" s="6"/>
      <c r="HUB39" s="6"/>
      <c r="HUC39" s="6"/>
      <c r="HUD39" s="6"/>
      <c r="HUE39" s="6"/>
      <c r="HUF39" s="6"/>
      <c r="HUG39" s="6"/>
      <c r="HUH39" s="6"/>
      <c r="HUI39" s="6"/>
      <c r="HUJ39" s="6"/>
      <c r="HUK39" s="6"/>
      <c r="HUL39" s="6"/>
      <c r="HUM39" s="6"/>
      <c r="HUN39" s="6"/>
      <c r="HUO39" s="6"/>
      <c r="HUP39" s="6"/>
      <c r="HUQ39" s="6"/>
      <c r="HUR39" s="6"/>
      <c r="HUS39" s="6"/>
      <c r="HUT39" s="6"/>
      <c r="HUU39" s="6"/>
      <c r="HUV39" s="6"/>
      <c r="HUW39" s="6"/>
      <c r="HUX39" s="6"/>
      <c r="HUY39" s="6"/>
      <c r="HUZ39" s="6"/>
      <c r="HVA39" s="6"/>
      <c r="HVB39" s="6"/>
      <c r="HVC39" s="6"/>
      <c r="HVD39" s="6"/>
      <c r="HVE39" s="6"/>
      <c r="HVF39" s="6"/>
      <c r="HVG39" s="6"/>
      <c r="HVH39" s="6"/>
      <c r="HVI39" s="6"/>
      <c r="HVJ39" s="6"/>
      <c r="HVK39" s="6"/>
      <c r="HVL39" s="6"/>
      <c r="HVM39" s="6"/>
      <c r="HVN39" s="6"/>
      <c r="HVO39" s="6"/>
      <c r="HVP39" s="6"/>
      <c r="HVQ39" s="6"/>
      <c r="HVR39" s="6"/>
      <c r="HVS39" s="6"/>
      <c r="HVT39" s="6"/>
      <c r="HVU39" s="6"/>
      <c r="HVV39" s="6"/>
      <c r="HVW39" s="6"/>
      <c r="HVX39" s="6"/>
      <c r="HVY39" s="6"/>
      <c r="HVZ39" s="6"/>
      <c r="HWA39" s="6"/>
      <c r="HWB39" s="6"/>
      <c r="HWC39" s="6"/>
      <c r="HWD39" s="6"/>
      <c r="HWE39" s="6"/>
      <c r="HWF39" s="6"/>
      <c r="HWG39" s="6"/>
      <c r="HWH39" s="6"/>
      <c r="HWI39" s="6"/>
      <c r="HWJ39" s="6"/>
      <c r="HWK39" s="6"/>
      <c r="HWL39" s="6"/>
      <c r="HWM39" s="6"/>
      <c r="HWN39" s="6"/>
      <c r="HWO39" s="6"/>
      <c r="HWP39" s="6"/>
      <c r="HWQ39" s="6"/>
      <c r="HWR39" s="6"/>
      <c r="HWS39" s="6"/>
      <c r="HWT39" s="6"/>
      <c r="HWU39" s="6"/>
      <c r="HWV39" s="6"/>
      <c r="HWW39" s="6"/>
      <c r="HWX39" s="6"/>
      <c r="HWY39" s="6"/>
      <c r="HWZ39" s="6"/>
      <c r="HXA39" s="6"/>
      <c r="HXB39" s="6"/>
      <c r="HXC39" s="6"/>
      <c r="HXD39" s="6"/>
      <c r="HXE39" s="6"/>
      <c r="HXF39" s="6"/>
      <c r="HXG39" s="6"/>
      <c r="HXH39" s="6"/>
      <c r="HXI39" s="6"/>
      <c r="HXJ39" s="6"/>
      <c r="HXK39" s="6"/>
      <c r="HXL39" s="6"/>
      <c r="HXM39" s="6"/>
      <c r="HXN39" s="6"/>
      <c r="HXO39" s="6"/>
      <c r="HXP39" s="6"/>
      <c r="HXQ39" s="6"/>
      <c r="HXR39" s="6"/>
      <c r="HXS39" s="6"/>
      <c r="HXT39" s="6"/>
      <c r="HXU39" s="6"/>
      <c r="HXV39" s="6"/>
      <c r="HXW39" s="6"/>
      <c r="HXX39" s="6"/>
      <c r="HXY39" s="6"/>
      <c r="HXZ39" s="6"/>
      <c r="HYA39" s="6"/>
      <c r="HYB39" s="6"/>
      <c r="HYC39" s="6"/>
      <c r="HYD39" s="6"/>
      <c r="HYE39" s="6"/>
      <c r="HYF39" s="6"/>
      <c r="HYG39" s="6"/>
      <c r="HYH39" s="6"/>
      <c r="HYI39" s="6"/>
      <c r="HYJ39" s="6"/>
      <c r="HYK39" s="6"/>
      <c r="HYL39" s="6"/>
      <c r="HYM39" s="6"/>
      <c r="HYN39" s="6"/>
      <c r="HYO39" s="6"/>
      <c r="HYP39" s="6"/>
      <c r="HYQ39" s="6"/>
      <c r="HYR39" s="6"/>
      <c r="HYS39" s="6"/>
      <c r="HYT39" s="6"/>
      <c r="HYU39" s="6"/>
      <c r="HYV39" s="6"/>
      <c r="HYW39" s="6"/>
      <c r="HYX39" s="6"/>
      <c r="HYY39" s="6"/>
      <c r="HYZ39" s="6"/>
      <c r="HZA39" s="6"/>
      <c r="HZB39" s="6"/>
      <c r="HZC39" s="6"/>
      <c r="HZD39" s="6"/>
      <c r="HZE39" s="6"/>
      <c r="HZF39" s="6"/>
      <c r="HZG39" s="6"/>
      <c r="HZH39" s="6"/>
      <c r="HZI39" s="6"/>
      <c r="HZJ39" s="6"/>
      <c r="HZK39" s="6"/>
      <c r="HZL39" s="6"/>
      <c r="HZM39" s="6"/>
      <c r="HZN39" s="6"/>
      <c r="HZO39" s="6"/>
      <c r="HZP39" s="6"/>
      <c r="HZQ39" s="6"/>
      <c r="HZR39" s="6"/>
      <c r="HZS39" s="6"/>
      <c r="HZT39" s="6"/>
      <c r="HZU39" s="6"/>
      <c r="HZV39" s="6"/>
      <c r="HZW39" s="6"/>
      <c r="HZX39" s="6"/>
      <c r="HZY39" s="6"/>
      <c r="HZZ39" s="6"/>
      <c r="IAA39" s="6"/>
      <c r="IAB39" s="6"/>
      <c r="IAC39" s="6"/>
      <c r="IAD39" s="6"/>
      <c r="IAE39" s="6"/>
      <c r="IAF39" s="6"/>
      <c r="IAG39" s="6"/>
      <c r="IAH39" s="6"/>
      <c r="IAI39" s="6"/>
      <c r="IAJ39" s="6"/>
      <c r="IAK39" s="6"/>
      <c r="IAL39" s="6"/>
      <c r="IAM39" s="6"/>
      <c r="IAN39" s="6"/>
      <c r="IAO39" s="6"/>
      <c r="IAP39" s="6"/>
      <c r="IAQ39" s="6"/>
      <c r="IAR39" s="6"/>
      <c r="IAS39" s="6"/>
      <c r="IAT39" s="6"/>
      <c r="IAU39" s="6"/>
      <c r="IAV39" s="6"/>
      <c r="IAW39" s="6"/>
      <c r="IAX39" s="6"/>
      <c r="IAY39" s="6"/>
      <c r="IAZ39" s="6"/>
      <c r="IBA39" s="6"/>
      <c r="IBB39" s="6"/>
      <c r="IBC39" s="6"/>
      <c r="IBD39" s="6"/>
      <c r="IBE39" s="6"/>
      <c r="IBF39" s="6"/>
      <c r="IBG39" s="6"/>
      <c r="IBH39" s="6"/>
      <c r="IBI39" s="6"/>
      <c r="IBJ39" s="6"/>
      <c r="IBK39" s="6"/>
      <c r="IBL39" s="6"/>
      <c r="IBM39" s="6"/>
      <c r="IBN39" s="6"/>
      <c r="IBO39" s="6"/>
      <c r="IBP39" s="6"/>
      <c r="IBQ39" s="6"/>
      <c r="IBR39" s="6"/>
      <c r="IBS39" s="6"/>
      <c r="IBT39" s="6"/>
      <c r="IBU39" s="6"/>
      <c r="IBV39" s="6"/>
      <c r="IBW39" s="6"/>
      <c r="IBX39" s="6"/>
      <c r="IBY39" s="6"/>
      <c r="IBZ39" s="6"/>
      <c r="ICA39" s="6"/>
      <c r="ICB39" s="6"/>
      <c r="ICC39" s="6"/>
      <c r="ICD39" s="6"/>
      <c r="ICE39" s="6"/>
      <c r="ICF39" s="6"/>
      <c r="ICG39" s="6"/>
      <c r="ICH39" s="6"/>
      <c r="ICI39" s="6"/>
      <c r="ICJ39" s="6"/>
      <c r="ICK39" s="6"/>
      <c r="ICL39" s="6"/>
      <c r="ICM39" s="6"/>
      <c r="ICN39" s="6"/>
      <c r="ICO39" s="6"/>
      <c r="ICP39" s="6"/>
      <c r="ICQ39" s="6"/>
      <c r="ICR39" s="6"/>
      <c r="ICS39" s="6"/>
      <c r="ICT39" s="6"/>
      <c r="ICU39" s="6"/>
      <c r="ICV39" s="6"/>
      <c r="ICW39" s="6"/>
      <c r="ICX39" s="6"/>
      <c r="ICY39" s="6"/>
      <c r="ICZ39" s="6"/>
      <c r="IDA39" s="6"/>
      <c r="IDB39" s="6"/>
      <c r="IDC39" s="6"/>
      <c r="IDD39" s="6"/>
      <c r="IDE39" s="6"/>
      <c r="IDF39" s="6"/>
      <c r="IDG39" s="6"/>
      <c r="IDH39" s="6"/>
      <c r="IDI39" s="6"/>
      <c r="IDJ39" s="6"/>
      <c r="IDK39" s="6"/>
      <c r="IDL39" s="6"/>
      <c r="IDM39" s="6"/>
      <c r="IDN39" s="6"/>
      <c r="IDO39" s="6"/>
      <c r="IDP39" s="6"/>
      <c r="IDQ39" s="6"/>
      <c r="IDR39" s="6"/>
      <c r="IDS39" s="6"/>
      <c r="IDT39" s="6"/>
      <c r="IDU39" s="6"/>
      <c r="IDV39" s="6"/>
      <c r="IDW39" s="6"/>
      <c r="IDX39" s="6"/>
      <c r="IDY39" s="6"/>
      <c r="IDZ39" s="6"/>
      <c r="IEA39" s="6"/>
      <c r="IEB39" s="6"/>
      <c r="IEC39" s="6"/>
      <c r="IED39" s="6"/>
      <c r="IEE39" s="6"/>
      <c r="IEF39" s="6"/>
      <c r="IEG39" s="6"/>
      <c r="IEH39" s="6"/>
      <c r="IEI39" s="6"/>
      <c r="IEJ39" s="6"/>
      <c r="IEK39" s="6"/>
      <c r="IEL39" s="6"/>
      <c r="IEM39" s="6"/>
      <c r="IEN39" s="6"/>
      <c r="IEO39" s="6"/>
      <c r="IEP39" s="6"/>
      <c r="IEQ39" s="6"/>
      <c r="IER39" s="6"/>
      <c r="IES39" s="6"/>
      <c r="IET39" s="6"/>
      <c r="IEU39" s="6"/>
      <c r="IEV39" s="6"/>
      <c r="IEW39" s="6"/>
      <c r="IEX39" s="6"/>
      <c r="IEY39" s="6"/>
      <c r="IEZ39" s="6"/>
      <c r="IFA39" s="6"/>
      <c r="IFB39" s="6"/>
      <c r="IFC39" s="6"/>
      <c r="IFD39" s="6"/>
      <c r="IFE39" s="6"/>
      <c r="IFF39" s="6"/>
      <c r="IFG39" s="6"/>
      <c r="IFH39" s="6"/>
      <c r="IFI39" s="6"/>
      <c r="IFJ39" s="6"/>
      <c r="IFK39" s="6"/>
      <c r="IFL39" s="6"/>
      <c r="IFM39" s="6"/>
      <c r="IFN39" s="6"/>
      <c r="IFO39" s="6"/>
      <c r="IFP39" s="6"/>
      <c r="IFQ39" s="6"/>
      <c r="IFR39" s="6"/>
      <c r="IFS39" s="6"/>
      <c r="IFT39" s="6"/>
      <c r="IFU39" s="6"/>
      <c r="IFV39" s="6"/>
      <c r="IFW39" s="6"/>
      <c r="IFX39" s="6"/>
      <c r="IFY39" s="6"/>
      <c r="IFZ39" s="6"/>
      <c r="IGA39" s="6"/>
      <c r="IGB39" s="6"/>
      <c r="IGC39" s="6"/>
      <c r="IGD39" s="6"/>
      <c r="IGE39" s="6"/>
      <c r="IGF39" s="6"/>
      <c r="IGG39" s="6"/>
      <c r="IGH39" s="6"/>
      <c r="IGI39" s="6"/>
      <c r="IGJ39" s="6"/>
      <c r="IGK39" s="6"/>
      <c r="IGL39" s="6"/>
      <c r="IGM39" s="6"/>
      <c r="IGN39" s="6"/>
      <c r="IGO39" s="6"/>
      <c r="IGP39" s="6"/>
      <c r="IGQ39" s="6"/>
      <c r="IGR39" s="6"/>
      <c r="IGS39" s="6"/>
      <c r="IGT39" s="6"/>
      <c r="IGU39" s="6"/>
      <c r="IGV39" s="6"/>
      <c r="IGW39" s="6"/>
      <c r="IGX39" s="6"/>
      <c r="IGY39" s="6"/>
      <c r="IGZ39" s="6"/>
      <c r="IHA39" s="6"/>
      <c r="IHB39" s="6"/>
      <c r="IHC39" s="6"/>
      <c r="IHD39" s="6"/>
      <c r="IHE39" s="6"/>
      <c r="IHF39" s="6"/>
      <c r="IHG39" s="6"/>
      <c r="IHH39" s="6"/>
      <c r="IHI39" s="6"/>
      <c r="IHJ39" s="6"/>
      <c r="IHK39" s="6"/>
      <c r="IHL39" s="6"/>
      <c r="IHM39" s="6"/>
      <c r="IHN39" s="6"/>
      <c r="IHO39" s="6"/>
      <c r="IHP39" s="6"/>
      <c r="IHQ39" s="6"/>
      <c r="IHR39" s="6"/>
      <c r="IHS39" s="6"/>
      <c r="IHT39" s="6"/>
      <c r="IHU39" s="6"/>
      <c r="IHV39" s="6"/>
      <c r="IHW39" s="6"/>
      <c r="IHX39" s="6"/>
      <c r="IHY39" s="6"/>
      <c r="IHZ39" s="6"/>
      <c r="IIA39" s="6"/>
      <c r="IIB39" s="6"/>
      <c r="IIC39" s="6"/>
      <c r="IID39" s="6"/>
      <c r="IIE39" s="6"/>
      <c r="IIF39" s="6"/>
      <c r="IIG39" s="6"/>
      <c r="IIH39" s="6"/>
      <c r="III39" s="6"/>
      <c r="IIJ39" s="6"/>
      <c r="IIK39" s="6"/>
      <c r="IIL39" s="6"/>
      <c r="IIM39" s="6"/>
      <c r="IIN39" s="6"/>
      <c r="IIO39" s="6"/>
      <c r="IIP39" s="6"/>
      <c r="IIQ39" s="6"/>
      <c r="IIR39" s="6"/>
      <c r="IIS39" s="6"/>
      <c r="IIT39" s="6"/>
      <c r="IIU39" s="6"/>
      <c r="IIV39" s="6"/>
      <c r="IIW39" s="6"/>
      <c r="IIX39" s="6"/>
      <c r="IIY39" s="6"/>
      <c r="IIZ39" s="6"/>
      <c r="IJA39" s="6"/>
      <c r="IJB39" s="6"/>
      <c r="IJC39" s="6"/>
      <c r="IJD39" s="6"/>
      <c r="IJE39" s="6"/>
      <c r="IJF39" s="6"/>
      <c r="IJG39" s="6"/>
      <c r="IJH39" s="6"/>
      <c r="IJI39" s="6"/>
      <c r="IJJ39" s="6"/>
      <c r="IJK39" s="6"/>
      <c r="IJL39" s="6"/>
      <c r="IJM39" s="6"/>
      <c r="IJN39" s="6"/>
      <c r="IJO39" s="6"/>
      <c r="IJP39" s="6"/>
      <c r="IJQ39" s="6"/>
      <c r="IJR39" s="6"/>
      <c r="IJS39" s="6"/>
      <c r="IJT39" s="6"/>
      <c r="IJU39" s="6"/>
      <c r="IJV39" s="6"/>
      <c r="IJW39" s="6"/>
      <c r="IJX39" s="6"/>
      <c r="IJY39" s="6"/>
      <c r="IJZ39" s="6"/>
      <c r="IKA39" s="6"/>
      <c r="IKB39" s="6"/>
      <c r="IKC39" s="6"/>
      <c r="IKD39" s="6"/>
      <c r="IKE39" s="6"/>
      <c r="IKF39" s="6"/>
      <c r="IKG39" s="6"/>
      <c r="IKH39" s="6"/>
      <c r="IKI39" s="6"/>
      <c r="IKJ39" s="6"/>
      <c r="IKK39" s="6"/>
      <c r="IKL39" s="6"/>
      <c r="IKM39" s="6"/>
      <c r="IKN39" s="6"/>
      <c r="IKO39" s="6"/>
      <c r="IKP39" s="6"/>
      <c r="IKQ39" s="6"/>
      <c r="IKR39" s="6"/>
      <c r="IKS39" s="6"/>
      <c r="IKT39" s="6"/>
      <c r="IKU39" s="6"/>
      <c r="IKV39" s="6"/>
      <c r="IKW39" s="6"/>
      <c r="IKX39" s="6"/>
      <c r="IKY39" s="6"/>
      <c r="IKZ39" s="6"/>
      <c r="ILA39" s="6"/>
      <c r="ILB39" s="6"/>
      <c r="ILC39" s="6"/>
      <c r="ILD39" s="6"/>
      <c r="ILE39" s="6"/>
      <c r="ILF39" s="6"/>
      <c r="ILG39" s="6"/>
      <c r="ILH39" s="6"/>
      <c r="ILI39" s="6"/>
      <c r="ILJ39" s="6"/>
      <c r="ILK39" s="6"/>
      <c r="ILL39" s="6"/>
      <c r="ILM39" s="6"/>
      <c r="ILN39" s="6"/>
      <c r="ILO39" s="6"/>
      <c r="ILP39" s="6"/>
      <c r="ILQ39" s="6"/>
      <c r="ILR39" s="6"/>
      <c r="ILS39" s="6"/>
      <c r="ILT39" s="6"/>
      <c r="ILU39" s="6"/>
      <c r="ILV39" s="6"/>
      <c r="ILW39" s="6"/>
      <c r="ILX39" s="6"/>
      <c r="ILY39" s="6"/>
      <c r="ILZ39" s="6"/>
      <c r="IMA39" s="6"/>
      <c r="IMB39" s="6"/>
      <c r="IMC39" s="6"/>
      <c r="IMD39" s="6"/>
      <c r="IME39" s="6"/>
      <c r="IMF39" s="6"/>
      <c r="IMG39" s="6"/>
      <c r="IMH39" s="6"/>
      <c r="IMI39" s="6"/>
      <c r="IMJ39" s="6"/>
      <c r="IMK39" s="6"/>
      <c r="IML39" s="6"/>
      <c r="IMM39" s="6"/>
      <c r="IMN39" s="6"/>
      <c r="IMO39" s="6"/>
      <c r="IMP39" s="6"/>
      <c r="IMQ39" s="6"/>
      <c r="IMR39" s="6"/>
      <c r="IMS39" s="6"/>
      <c r="IMT39" s="6"/>
      <c r="IMU39" s="6"/>
      <c r="IMV39" s="6"/>
      <c r="IMW39" s="6"/>
      <c r="IMX39" s="6"/>
      <c r="IMY39" s="6"/>
      <c r="IMZ39" s="6"/>
      <c r="INA39" s="6"/>
      <c r="INB39" s="6"/>
      <c r="INC39" s="6"/>
      <c r="IND39" s="6"/>
      <c r="INE39" s="6"/>
      <c r="INF39" s="6"/>
      <c r="ING39" s="6"/>
      <c r="INH39" s="6"/>
      <c r="INI39" s="6"/>
      <c r="INJ39" s="6"/>
      <c r="INK39" s="6"/>
      <c r="INL39" s="6"/>
      <c r="INM39" s="6"/>
      <c r="INN39" s="6"/>
      <c r="INO39" s="6"/>
      <c r="INP39" s="6"/>
      <c r="INQ39" s="6"/>
      <c r="INR39" s="6"/>
      <c r="INS39" s="6"/>
      <c r="INT39" s="6"/>
      <c r="INU39" s="6"/>
      <c r="INV39" s="6"/>
      <c r="INW39" s="6"/>
      <c r="INX39" s="6"/>
      <c r="INY39" s="6"/>
      <c r="INZ39" s="6"/>
      <c r="IOA39" s="6"/>
      <c r="IOB39" s="6"/>
      <c r="IOC39" s="6"/>
      <c r="IOD39" s="6"/>
      <c r="IOE39" s="6"/>
      <c r="IOF39" s="6"/>
      <c r="IOG39" s="6"/>
      <c r="IOH39" s="6"/>
      <c r="IOI39" s="6"/>
      <c r="IOJ39" s="6"/>
      <c r="IOK39" s="6"/>
      <c r="IOL39" s="6"/>
      <c r="IOM39" s="6"/>
      <c r="ION39" s="6"/>
      <c r="IOO39" s="6"/>
      <c r="IOP39" s="6"/>
      <c r="IOQ39" s="6"/>
      <c r="IOR39" s="6"/>
      <c r="IOS39" s="6"/>
      <c r="IOT39" s="6"/>
      <c r="IOU39" s="6"/>
      <c r="IOV39" s="6"/>
      <c r="IOW39" s="6"/>
      <c r="IOX39" s="6"/>
      <c r="IOY39" s="6"/>
      <c r="IOZ39" s="6"/>
      <c r="IPA39" s="6"/>
      <c r="IPB39" s="6"/>
      <c r="IPC39" s="6"/>
      <c r="IPD39" s="6"/>
      <c r="IPE39" s="6"/>
      <c r="IPF39" s="6"/>
      <c r="IPG39" s="6"/>
      <c r="IPH39" s="6"/>
      <c r="IPI39" s="6"/>
      <c r="IPJ39" s="6"/>
      <c r="IPK39" s="6"/>
      <c r="IPL39" s="6"/>
      <c r="IPM39" s="6"/>
      <c r="IPN39" s="6"/>
      <c r="IPO39" s="6"/>
      <c r="IPP39" s="6"/>
      <c r="IPQ39" s="6"/>
      <c r="IPR39" s="6"/>
      <c r="IPS39" s="6"/>
      <c r="IPT39" s="6"/>
      <c r="IPU39" s="6"/>
      <c r="IPV39" s="6"/>
      <c r="IPW39" s="6"/>
      <c r="IPX39" s="6"/>
      <c r="IPY39" s="6"/>
      <c r="IPZ39" s="6"/>
      <c r="IQA39" s="6"/>
      <c r="IQB39" s="6"/>
      <c r="IQC39" s="6"/>
      <c r="IQD39" s="6"/>
      <c r="IQE39" s="6"/>
      <c r="IQF39" s="6"/>
      <c r="IQG39" s="6"/>
      <c r="IQH39" s="6"/>
      <c r="IQI39" s="6"/>
      <c r="IQJ39" s="6"/>
      <c r="IQK39" s="6"/>
      <c r="IQL39" s="6"/>
      <c r="IQM39" s="6"/>
      <c r="IQN39" s="6"/>
      <c r="IQO39" s="6"/>
      <c r="IQP39" s="6"/>
      <c r="IQQ39" s="6"/>
      <c r="IQR39" s="6"/>
      <c r="IQS39" s="6"/>
      <c r="IQT39" s="6"/>
      <c r="IQU39" s="6"/>
      <c r="IQV39" s="6"/>
      <c r="IQW39" s="6"/>
      <c r="IQX39" s="6"/>
      <c r="IQY39" s="6"/>
      <c r="IQZ39" s="6"/>
      <c r="IRA39" s="6"/>
      <c r="IRB39" s="6"/>
      <c r="IRC39" s="6"/>
      <c r="IRD39" s="6"/>
      <c r="IRE39" s="6"/>
      <c r="IRF39" s="6"/>
      <c r="IRG39" s="6"/>
      <c r="IRH39" s="6"/>
      <c r="IRI39" s="6"/>
      <c r="IRJ39" s="6"/>
      <c r="IRK39" s="6"/>
      <c r="IRL39" s="6"/>
      <c r="IRM39" s="6"/>
      <c r="IRN39" s="6"/>
      <c r="IRO39" s="6"/>
      <c r="IRP39" s="6"/>
      <c r="IRQ39" s="6"/>
      <c r="IRR39" s="6"/>
      <c r="IRS39" s="6"/>
      <c r="IRT39" s="6"/>
      <c r="IRU39" s="6"/>
      <c r="IRV39" s="6"/>
      <c r="IRW39" s="6"/>
      <c r="IRX39" s="6"/>
      <c r="IRY39" s="6"/>
      <c r="IRZ39" s="6"/>
      <c r="ISA39" s="6"/>
      <c r="ISB39" s="6"/>
      <c r="ISC39" s="6"/>
      <c r="ISD39" s="6"/>
      <c r="ISE39" s="6"/>
      <c r="ISF39" s="6"/>
      <c r="ISG39" s="6"/>
      <c r="ISH39" s="6"/>
      <c r="ISI39" s="6"/>
      <c r="ISJ39" s="6"/>
      <c r="ISK39" s="6"/>
      <c r="ISL39" s="6"/>
      <c r="ISM39" s="6"/>
      <c r="ISN39" s="6"/>
      <c r="ISO39" s="6"/>
      <c r="ISP39" s="6"/>
      <c r="ISQ39" s="6"/>
      <c r="ISR39" s="6"/>
      <c r="ISS39" s="6"/>
      <c r="IST39" s="6"/>
      <c r="ISU39" s="6"/>
      <c r="ISV39" s="6"/>
      <c r="ISW39" s="6"/>
      <c r="ISX39" s="6"/>
      <c r="ISY39" s="6"/>
      <c r="ISZ39" s="6"/>
      <c r="ITA39" s="6"/>
      <c r="ITB39" s="6"/>
      <c r="ITC39" s="6"/>
      <c r="ITD39" s="6"/>
      <c r="ITE39" s="6"/>
      <c r="ITF39" s="6"/>
      <c r="ITG39" s="6"/>
      <c r="ITH39" s="6"/>
      <c r="ITI39" s="6"/>
      <c r="ITJ39" s="6"/>
      <c r="ITK39" s="6"/>
      <c r="ITL39" s="6"/>
      <c r="ITM39" s="6"/>
      <c r="ITN39" s="6"/>
      <c r="ITO39" s="6"/>
      <c r="ITP39" s="6"/>
      <c r="ITQ39" s="6"/>
      <c r="ITR39" s="6"/>
      <c r="ITS39" s="6"/>
      <c r="ITT39" s="6"/>
      <c r="ITU39" s="6"/>
      <c r="ITV39" s="6"/>
      <c r="ITW39" s="6"/>
      <c r="ITX39" s="6"/>
      <c r="ITY39" s="6"/>
      <c r="ITZ39" s="6"/>
      <c r="IUA39" s="6"/>
      <c r="IUB39" s="6"/>
      <c r="IUC39" s="6"/>
      <c r="IUD39" s="6"/>
      <c r="IUE39" s="6"/>
      <c r="IUF39" s="6"/>
      <c r="IUG39" s="6"/>
      <c r="IUH39" s="6"/>
      <c r="IUI39" s="6"/>
      <c r="IUJ39" s="6"/>
      <c r="IUK39" s="6"/>
      <c r="IUL39" s="6"/>
      <c r="IUM39" s="6"/>
      <c r="IUN39" s="6"/>
      <c r="IUO39" s="6"/>
      <c r="IUP39" s="6"/>
      <c r="IUQ39" s="6"/>
      <c r="IUR39" s="6"/>
      <c r="IUS39" s="6"/>
      <c r="IUT39" s="6"/>
      <c r="IUU39" s="6"/>
      <c r="IUV39" s="6"/>
      <c r="IUW39" s="6"/>
      <c r="IUX39" s="6"/>
      <c r="IUY39" s="6"/>
      <c r="IUZ39" s="6"/>
      <c r="IVA39" s="6"/>
      <c r="IVB39" s="6"/>
      <c r="IVC39" s="6"/>
      <c r="IVD39" s="6"/>
      <c r="IVE39" s="6"/>
      <c r="IVF39" s="6"/>
      <c r="IVG39" s="6"/>
      <c r="IVH39" s="6"/>
      <c r="IVI39" s="6"/>
      <c r="IVJ39" s="6"/>
      <c r="IVK39" s="6"/>
      <c r="IVL39" s="6"/>
      <c r="IVM39" s="6"/>
      <c r="IVN39" s="6"/>
      <c r="IVO39" s="6"/>
      <c r="IVP39" s="6"/>
      <c r="IVQ39" s="6"/>
      <c r="IVR39" s="6"/>
      <c r="IVS39" s="6"/>
      <c r="IVT39" s="6"/>
      <c r="IVU39" s="6"/>
      <c r="IVV39" s="6"/>
      <c r="IVW39" s="6"/>
      <c r="IVX39" s="6"/>
      <c r="IVY39" s="6"/>
      <c r="IVZ39" s="6"/>
      <c r="IWA39" s="6"/>
      <c r="IWB39" s="6"/>
      <c r="IWC39" s="6"/>
      <c r="IWD39" s="6"/>
      <c r="IWE39" s="6"/>
      <c r="IWF39" s="6"/>
      <c r="IWG39" s="6"/>
      <c r="IWH39" s="6"/>
      <c r="IWI39" s="6"/>
      <c r="IWJ39" s="6"/>
      <c r="IWK39" s="6"/>
      <c r="IWL39" s="6"/>
      <c r="IWM39" s="6"/>
      <c r="IWN39" s="6"/>
      <c r="IWO39" s="6"/>
      <c r="IWP39" s="6"/>
      <c r="IWQ39" s="6"/>
      <c r="IWR39" s="6"/>
      <c r="IWS39" s="6"/>
      <c r="IWT39" s="6"/>
      <c r="IWU39" s="6"/>
      <c r="IWV39" s="6"/>
      <c r="IWW39" s="6"/>
      <c r="IWX39" s="6"/>
      <c r="IWY39" s="6"/>
      <c r="IWZ39" s="6"/>
      <c r="IXA39" s="6"/>
      <c r="IXB39" s="6"/>
      <c r="IXC39" s="6"/>
      <c r="IXD39" s="6"/>
      <c r="IXE39" s="6"/>
      <c r="IXF39" s="6"/>
      <c r="IXG39" s="6"/>
      <c r="IXH39" s="6"/>
      <c r="IXI39" s="6"/>
      <c r="IXJ39" s="6"/>
      <c r="IXK39" s="6"/>
      <c r="IXL39" s="6"/>
      <c r="IXM39" s="6"/>
      <c r="IXN39" s="6"/>
      <c r="IXO39" s="6"/>
      <c r="IXP39" s="6"/>
      <c r="IXQ39" s="6"/>
      <c r="IXR39" s="6"/>
      <c r="IXS39" s="6"/>
      <c r="IXT39" s="6"/>
      <c r="IXU39" s="6"/>
      <c r="IXV39" s="6"/>
      <c r="IXW39" s="6"/>
      <c r="IXX39" s="6"/>
      <c r="IXY39" s="6"/>
      <c r="IXZ39" s="6"/>
      <c r="IYA39" s="6"/>
      <c r="IYB39" s="6"/>
      <c r="IYC39" s="6"/>
      <c r="IYD39" s="6"/>
      <c r="IYE39" s="6"/>
      <c r="IYF39" s="6"/>
      <c r="IYG39" s="6"/>
      <c r="IYH39" s="6"/>
      <c r="IYI39" s="6"/>
      <c r="IYJ39" s="6"/>
      <c r="IYK39" s="6"/>
      <c r="IYL39" s="6"/>
      <c r="IYM39" s="6"/>
      <c r="IYN39" s="6"/>
      <c r="IYO39" s="6"/>
      <c r="IYP39" s="6"/>
      <c r="IYQ39" s="6"/>
      <c r="IYR39" s="6"/>
      <c r="IYS39" s="6"/>
      <c r="IYT39" s="6"/>
      <c r="IYU39" s="6"/>
      <c r="IYV39" s="6"/>
      <c r="IYW39" s="6"/>
      <c r="IYX39" s="6"/>
      <c r="IYY39" s="6"/>
      <c r="IYZ39" s="6"/>
      <c r="IZA39" s="6"/>
      <c r="IZB39" s="6"/>
      <c r="IZC39" s="6"/>
      <c r="IZD39" s="6"/>
      <c r="IZE39" s="6"/>
      <c r="IZF39" s="6"/>
      <c r="IZG39" s="6"/>
      <c r="IZH39" s="6"/>
      <c r="IZI39" s="6"/>
      <c r="IZJ39" s="6"/>
      <c r="IZK39" s="6"/>
      <c r="IZL39" s="6"/>
      <c r="IZM39" s="6"/>
      <c r="IZN39" s="6"/>
      <c r="IZO39" s="6"/>
      <c r="IZP39" s="6"/>
      <c r="IZQ39" s="6"/>
      <c r="IZR39" s="6"/>
      <c r="IZS39" s="6"/>
      <c r="IZT39" s="6"/>
      <c r="IZU39" s="6"/>
      <c r="IZV39" s="6"/>
      <c r="IZW39" s="6"/>
      <c r="IZX39" s="6"/>
      <c r="IZY39" s="6"/>
      <c r="IZZ39" s="6"/>
      <c r="JAA39" s="6"/>
      <c r="JAB39" s="6"/>
      <c r="JAC39" s="6"/>
      <c r="JAD39" s="6"/>
      <c r="JAE39" s="6"/>
      <c r="JAF39" s="6"/>
      <c r="JAG39" s="6"/>
      <c r="JAH39" s="6"/>
      <c r="JAI39" s="6"/>
      <c r="JAJ39" s="6"/>
      <c r="JAK39" s="6"/>
      <c r="JAL39" s="6"/>
      <c r="JAM39" s="6"/>
      <c r="JAN39" s="6"/>
      <c r="JAO39" s="6"/>
      <c r="JAP39" s="6"/>
      <c r="JAQ39" s="6"/>
      <c r="JAR39" s="6"/>
      <c r="JAS39" s="6"/>
      <c r="JAT39" s="6"/>
      <c r="JAU39" s="6"/>
      <c r="JAV39" s="6"/>
      <c r="JAW39" s="6"/>
      <c r="JAX39" s="6"/>
      <c r="JAY39" s="6"/>
      <c r="JAZ39" s="6"/>
      <c r="JBA39" s="6"/>
      <c r="JBB39" s="6"/>
      <c r="JBC39" s="6"/>
      <c r="JBD39" s="6"/>
      <c r="JBE39" s="6"/>
      <c r="JBF39" s="6"/>
      <c r="JBG39" s="6"/>
      <c r="JBH39" s="6"/>
      <c r="JBI39" s="6"/>
      <c r="JBJ39" s="6"/>
      <c r="JBK39" s="6"/>
      <c r="JBL39" s="6"/>
      <c r="JBM39" s="6"/>
      <c r="JBN39" s="6"/>
      <c r="JBO39" s="6"/>
      <c r="JBP39" s="6"/>
      <c r="JBQ39" s="6"/>
      <c r="JBR39" s="6"/>
      <c r="JBS39" s="6"/>
      <c r="JBT39" s="6"/>
      <c r="JBU39" s="6"/>
      <c r="JBV39" s="6"/>
      <c r="JBW39" s="6"/>
      <c r="JBX39" s="6"/>
      <c r="JBY39" s="6"/>
      <c r="JBZ39" s="6"/>
      <c r="JCA39" s="6"/>
      <c r="JCB39" s="6"/>
      <c r="JCC39" s="6"/>
      <c r="JCD39" s="6"/>
      <c r="JCE39" s="6"/>
      <c r="JCF39" s="6"/>
      <c r="JCG39" s="6"/>
      <c r="JCH39" s="6"/>
      <c r="JCI39" s="6"/>
      <c r="JCJ39" s="6"/>
      <c r="JCK39" s="6"/>
      <c r="JCL39" s="6"/>
      <c r="JCM39" s="6"/>
      <c r="JCN39" s="6"/>
      <c r="JCO39" s="6"/>
      <c r="JCP39" s="6"/>
      <c r="JCQ39" s="6"/>
      <c r="JCR39" s="6"/>
      <c r="JCS39" s="6"/>
      <c r="JCT39" s="6"/>
      <c r="JCU39" s="6"/>
      <c r="JCV39" s="6"/>
      <c r="JCW39" s="6"/>
      <c r="JCX39" s="6"/>
      <c r="JCY39" s="6"/>
      <c r="JCZ39" s="6"/>
      <c r="JDA39" s="6"/>
      <c r="JDB39" s="6"/>
      <c r="JDC39" s="6"/>
      <c r="JDD39" s="6"/>
      <c r="JDE39" s="6"/>
      <c r="JDF39" s="6"/>
      <c r="JDG39" s="6"/>
      <c r="JDH39" s="6"/>
      <c r="JDI39" s="6"/>
      <c r="JDJ39" s="6"/>
      <c r="JDK39" s="6"/>
      <c r="JDL39" s="6"/>
      <c r="JDM39" s="6"/>
      <c r="JDN39" s="6"/>
      <c r="JDO39" s="6"/>
      <c r="JDP39" s="6"/>
      <c r="JDQ39" s="6"/>
      <c r="JDR39" s="6"/>
      <c r="JDS39" s="6"/>
      <c r="JDT39" s="6"/>
      <c r="JDU39" s="6"/>
      <c r="JDV39" s="6"/>
      <c r="JDW39" s="6"/>
      <c r="JDX39" s="6"/>
      <c r="JDY39" s="6"/>
      <c r="JDZ39" s="6"/>
      <c r="JEA39" s="6"/>
      <c r="JEB39" s="6"/>
      <c r="JEC39" s="6"/>
      <c r="JED39" s="6"/>
      <c r="JEE39" s="6"/>
      <c r="JEF39" s="6"/>
      <c r="JEG39" s="6"/>
      <c r="JEH39" s="6"/>
      <c r="JEI39" s="6"/>
      <c r="JEJ39" s="6"/>
      <c r="JEK39" s="6"/>
      <c r="JEL39" s="6"/>
      <c r="JEM39" s="6"/>
      <c r="JEN39" s="6"/>
      <c r="JEO39" s="6"/>
      <c r="JEP39" s="6"/>
      <c r="JEQ39" s="6"/>
      <c r="JER39" s="6"/>
      <c r="JES39" s="6"/>
      <c r="JET39" s="6"/>
      <c r="JEU39" s="6"/>
      <c r="JEV39" s="6"/>
      <c r="JEW39" s="6"/>
      <c r="JEX39" s="6"/>
      <c r="JEY39" s="6"/>
      <c r="JEZ39" s="6"/>
      <c r="JFA39" s="6"/>
      <c r="JFB39" s="6"/>
      <c r="JFC39" s="6"/>
      <c r="JFD39" s="6"/>
      <c r="JFE39" s="6"/>
      <c r="JFF39" s="6"/>
      <c r="JFG39" s="6"/>
      <c r="JFH39" s="6"/>
      <c r="JFI39" s="6"/>
      <c r="JFJ39" s="6"/>
      <c r="JFK39" s="6"/>
      <c r="JFL39" s="6"/>
      <c r="JFM39" s="6"/>
      <c r="JFN39" s="6"/>
      <c r="JFO39" s="6"/>
      <c r="JFP39" s="6"/>
      <c r="JFQ39" s="6"/>
      <c r="JFR39" s="6"/>
      <c r="JFS39" s="6"/>
      <c r="JFT39" s="6"/>
      <c r="JFU39" s="6"/>
      <c r="JFV39" s="6"/>
      <c r="JFW39" s="6"/>
      <c r="JFX39" s="6"/>
      <c r="JFY39" s="6"/>
      <c r="JFZ39" s="6"/>
      <c r="JGA39" s="6"/>
      <c r="JGB39" s="6"/>
      <c r="JGC39" s="6"/>
      <c r="JGD39" s="6"/>
      <c r="JGE39" s="6"/>
      <c r="JGF39" s="6"/>
      <c r="JGG39" s="6"/>
      <c r="JGH39" s="6"/>
      <c r="JGI39" s="6"/>
      <c r="JGJ39" s="6"/>
      <c r="JGK39" s="6"/>
      <c r="JGL39" s="6"/>
      <c r="JGM39" s="6"/>
      <c r="JGN39" s="6"/>
      <c r="JGO39" s="6"/>
      <c r="JGP39" s="6"/>
      <c r="JGQ39" s="6"/>
      <c r="JGR39" s="6"/>
      <c r="JGS39" s="6"/>
      <c r="JGT39" s="6"/>
      <c r="JGU39" s="6"/>
      <c r="JGV39" s="6"/>
      <c r="JGW39" s="6"/>
      <c r="JGX39" s="6"/>
      <c r="JGY39" s="6"/>
      <c r="JGZ39" s="6"/>
      <c r="JHA39" s="6"/>
      <c r="JHB39" s="6"/>
      <c r="JHC39" s="6"/>
      <c r="JHD39" s="6"/>
      <c r="JHE39" s="6"/>
      <c r="JHF39" s="6"/>
      <c r="JHG39" s="6"/>
      <c r="JHH39" s="6"/>
      <c r="JHI39" s="6"/>
      <c r="JHJ39" s="6"/>
      <c r="JHK39" s="6"/>
      <c r="JHL39" s="6"/>
      <c r="JHM39" s="6"/>
      <c r="JHN39" s="6"/>
      <c r="JHO39" s="6"/>
      <c r="JHP39" s="6"/>
      <c r="JHQ39" s="6"/>
      <c r="JHR39" s="6"/>
      <c r="JHS39" s="6"/>
      <c r="JHT39" s="6"/>
      <c r="JHU39" s="6"/>
      <c r="JHV39" s="6"/>
      <c r="JHW39" s="6"/>
      <c r="JHX39" s="6"/>
      <c r="JHY39" s="6"/>
      <c r="JHZ39" s="6"/>
      <c r="JIA39" s="6"/>
      <c r="JIB39" s="6"/>
      <c r="JIC39" s="6"/>
      <c r="JID39" s="6"/>
      <c r="JIE39" s="6"/>
      <c r="JIF39" s="6"/>
      <c r="JIG39" s="6"/>
      <c r="JIH39" s="6"/>
      <c r="JII39" s="6"/>
      <c r="JIJ39" s="6"/>
      <c r="JIK39" s="6"/>
      <c r="JIL39" s="6"/>
      <c r="JIM39" s="6"/>
      <c r="JIN39" s="6"/>
      <c r="JIO39" s="6"/>
      <c r="JIP39" s="6"/>
      <c r="JIQ39" s="6"/>
      <c r="JIR39" s="6"/>
      <c r="JIS39" s="6"/>
      <c r="JIT39" s="6"/>
      <c r="JIU39" s="6"/>
      <c r="JIV39" s="6"/>
      <c r="JIW39" s="6"/>
      <c r="JIX39" s="6"/>
      <c r="JIY39" s="6"/>
      <c r="JIZ39" s="6"/>
      <c r="JJA39" s="6"/>
      <c r="JJB39" s="6"/>
      <c r="JJC39" s="6"/>
      <c r="JJD39" s="6"/>
      <c r="JJE39" s="6"/>
      <c r="JJF39" s="6"/>
      <c r="JJG39" s="6"/>
      <c r="JJH39" s="6"/>
      <c r="JJI39" s="6"/>
      <c r="JJJ39" s="6"/>
      <c r="JJK39" s="6"/>
      <c r="JJL39" s="6"/>
      <c r="JJM39" s="6"/>
      <c r="JJN39" s="6"/>
      <c r="JJO39" s="6"/>
      <c r="JJP39" s="6"/>
      <c r="JJQ39" s="6"/>
      <c r="JJR39" s="6"/>
      <c r="JJS39" s="6"/>
      <c r="JJT39" s="6"/>
      <c r="JJU39" s="6"/>
      <c r="JJV39" s="6"/>
      <c r="JJW39" s="6"/>
      <c r="JJX39" s="6"/>
      <c r="JJY39" s="6"/>
      <c r="JJZ39" s="6"/>
      <c r="JKA39" s="6"/>
      <c r="JKB39" s="6"/>
      <c r="JKC39" s="6"/>
      <c r="JKD39" s="6"/>
      <c r="JKE39" s="6"/>
      <c r="JKF39" s="6"/>
      <c r="JKG39" s="6"/>
      <c r="JKH39" s="6"/>
      <c r="JKI39" s="6"/>
      <c r="JKJ39" s="6"/>
      <c r="JKK39" s="6"/>
      <c r="JKL39" s="6"/>
      <c r="JKM39" s="6"/>
      <c r="JKN39" s="6"/>
      <c r="JKO39" s="6"/>
      <c r="JKP39" s="6"/>
      <c r="JKQ39" s="6"/>
      <c r="JKR39" s="6"/>
      <c r="JKS39" s="6"/>
      <c r="JKT39" s="6"/>
      <c r="JKU39" s="6"/>
      <c r="JKV39" s="6"/>
      <c r="JKW39" s="6"/>
      <c r="JKX39" s="6"/>
      <c r="JKY39" s="6"/>
      <c r="JKZ39" s="6"/>
      <c r="JLA39" s="6"/>
      <c r="JLB39" s="6"/>
      <c r="JLC39" s="6"/>
      <c r="JLD39" s="6"/>
      <c r="JLE39" s="6"/>
      <c r="JLF39" s="6"/>
      <c r="JLG39" s="6"/>
      <c r="JLH39" s="6"/>
      <c r="JLI39" s="6"/>
      <c r="JLJ39" s="6"/>
      <c r="JLK39" s="6"/>
      <c r="JLL39" s="6"/>
      <c r="JLM39" s="6"/>
      <c r="JLN39" s="6"/>
      <c r="JLO39" s="6"/>
      <c r="JLP39" s="6"/>
      <c r="JLQ39" s="6"/>
      <c r="JLR39" s="6"/>
      <c r="JLS39" s="6"/>
      <c r="JLT39" s="6"/>
      <c r="JLU39" s="6"/>
      <c r="JLV39" s="6"/>
      <c r="JLW39" s="6"/>
      <c r="JLX39" s="6"/>
      <c r="JLY39" s="6"/>
      <c r="JLZ39" s="6"/>
      <c r="JMA39" s="6"/>
      <c r="JMB39" s="6"/>
      <c r="JMC39" s="6"/>
      <c r="JMD39" s="6"/>
      <c r="JME39" s="6"/>
      <c r="JMF39" s="6"/>
      <c r="JMG39" s="6"/>
      <c r="JMH39" s="6"/>
      <c r="JMI39" s="6"/>
      <c r="JMJ39" s="6"/>
      <c r="JMK39" s="6"/>
      <c r="JML39" s="6"/>
      <c r="JMM39" s="6"/>
      <c r="JMN39" s="6"/>
      <c r="JMO39" s="6"/>
      <c r="JMP39" s="6"/>
      <c r="JMQ39" s="6"/>
      <c r="JMR39" s="6"/>
      <c r="JMS39" s="6"/>
      <c r="JMT39" s="6"/>
      <c r="JMU39" s="6"/>
      <c r="JMV39" s="6"/>
      <c r="JMW39" s="6"/>
      <c r="JMX39" s="6"/>
      <c r="JMY39" s="6"/>
      <c r="JMZ39" s="6"/>
      <c r="JNA39" s="6"/>
      <c r="JNB39" s="6"/>
      <c r="JNC39" s="6"/>
      <c r="JND39" s="6"/>
      <c r="JNE39" s="6"/>
      <c r="JNF39" s="6"/>
      <c r="JNG39" s="6"/>
      <c r="JNH39" s="6"/>
      <c r="JNI39" s="6"/>
      <c r="JNJ39" s="6"/>
      <c r="JNK39" s="6"/>
      <c r="JNL39" s="6"/>
      <c r="JNM39" s="6"/>
      <c r="JNN39" s="6"/>
      <c r="JNO39" s="6"/>
      <c r="JNP39" s="6"/>
      <c r="JNQ39" s="6"/>
      <c r="JNR39" s="6"/>
      <c r="JNS39" s="6"/>
      <c r="JNT39" s="6"/>
      <c r="JNU39" s="6"/>
      <c r="JNV39" s="6"/>
      <c r="JNW39" s="6"/>
      <c r="JNX39" s="6"/>
      <c r="JNY39" s="6"/>
      <c r="JNZ39" s="6"/>
      <c r="JOA39" s="6"/>
      <c r="JOB39" s="6"/>
      <c r="JOC39" s="6"/>
      <c r="JOD39" s="6"/>
      <c r="JOE39" s="6"/>
      <c r="JOF39" s="6"/>
      <c r="JOG39" s="6"/>
      <c r="JOH39" s="6"/>
      <c r="JOI39" s="6"/>
      <c r="JOJ39" s="6"/>
      <c r="JOK39" s="6"/>
      <c r="JOL39" s="6"/>
      <c r="JOM39" s="6"/>
      <c r="JON39" s="6"/>
      <c r="JOO39" s="6"/>
      <c r="JOP39" s="6"/>
      <c r="JOQ39" s="6"/>
      <c r="JOR39" s="6"/>
      <c r="JOS39" s="6"/>
      <c r="JOT39" s="6"/>
      <c r="JOU39" s="6"/>
      <c r="JOV39" s="6"/>
      <c r="JOW39" s="6"/>
      <c r="JOX39" s="6"/>
      <c r="JOY39" s="6"/>
      <c r="JOZ39" s="6"/>
      <c r="JPA39" s="6"/>
      <c r="JPB39" s="6"/>
      <c r="JPC39" s="6"/>
      <c r="JPD39" s="6"/>
      <c r="JPE39" s="6"/>
      <c r="JPF39" s="6"/>
      <c r="JPG39" s="6"/>
      <c r="JPH39" s="6"/>
      <c r="JPI39" s="6"/>
      <c r="JPJ39" s="6"/>
      <c r="JPK39" s="6"/>
      <c r="JPL39" s="6"/>
      <c r="JPM39" s="6"/>
      <c r="JPN39" s="6"/>
      <c r="JPO39" s="6"/>
      <c r="JPP39" s="6"/>
      <c r="JPQ39" s="6"/>
      <c r="JPR39" s="6"/>
      <c r="JPS39" s="6"/>
      <c r="JPT39" s="6"/>
      <c r="JPU39" s="6"/>
      <c r="JPV39" s="6"/>
      <c r="JPW39" s="6"/>
      <c r="JPX39" s="6"/>
      <c r="JPY39" s="6"/>
      <c r="JPZ39" s="6"/>
      <c r="JQA39" s="6"/>
      <c r="JQB39" s="6"/>
      <c r="JQC39" s="6"/>
      <c r="JQD39" s="6"/>
      <c r="JQE39" s="6"/>
      <c r="JQF39" s="6"/>
      <c r="JQG39" s="6"/>
      <c r="JQH39" s="6"/>
      <c r="JQI39" s="6"/>
      <c r="JQJ39" s="6"/>
      <c r="JQK39" s="6"/>
      <c r="JQL39" s="6"/>
      <c r="JQM39" s="6"/>
      <c r="JQN39" s="6"/>
      <c r="JQO39" s="6"/>
      <c r="JQP39" s="6"/>
      <c r="JQQ39" s="6"/>
      <c r="JQR39" s="6"/>
      <c r="JQS39" s="6"/>
      <c r="JQT39" s="6"/>
      <c r="JQU39" s="6"/>
      <c r="JQV39" s="6"/>
      <c r="JQW39" s="6"/>
      <c r="JQX39" s="6"/>
      <c r="JQY39" s="6"/>
      <c r="JQZ39" s="6"/>
      <c r="JRA39" s="6"/>
      <c r="JRB39" s="6"/>
      <c r="JRC39" s="6"/>
      <c r="JRD39" s="6"/>
      <c r="JRE39" s="6"/>
      <c r="JRF39" s="6"/>
      <c r="JRG39" s="6"/>
      <c r="JRH39" s="6"/>
      <c r="JRI39" s="6"/>
      <c r="JRJ39" s="6"/>
      <c r="JRK39" s="6"/>
      <c r="JRL39" s="6"/>
      <c r="JRM39" s="6"/>
      <c r="JRN39" s="6"/>
      <c r="JRO39" s="6"/>
      <c r="JRP39" s="6"/>
      <c r="JRQ39" s="6"/>
      <c r="JRR39" s="6"/>
      <c r="JRS39" s="6"/>
      <c r="JRT39" s="6"/>
      <c r="JRU39" s="6"/>
      <c r="JRV39" s="6"/>
      <c r="JRW39" s="6"/>
      <c r="JRX39" s="6"/>
      <c r="JRY39" s="6"/>
      <c r="JRZ39" s="6"/>
      <c r="JSA39" s="6"/>
      <c r="JSB39" s="6"/>
      <c r="JSC39" s="6"/>
      <c r="JSD39" s="6"/>
      <c r="JSE39" s="6"/>
      <c r="JSF39" s="6"/>
      <c r="JSG39" s="6"/>
      <c r="JSH39" s="6"/>
      <c r="JSI39" s="6"/>
      <c r="JSJ39" s="6"/>
      <c r="JSK39" s="6"/>
      <c r="JSL39" s="6"/>
      <c r="JSM39" s="6"/>
      <c r="JSN39" s="6"/>
      <c r="JSO39" s="6"/>
      <c r="JSP39" s="6"/>
      <c r="JSQ39" s="6"/>
      <c r="JSR39" s="6"/>
      <c r="JSS39" s="6"/>
      <c r="JST39" s="6"/>
      <c r="JSU39" s="6"/>
      <c r="JSV39" s="6"/>
      <c r="JSW39" s="6"/>
      <c r="JSX39" s="6"/>
      <c r="JSY39" s="6"/>
      <c r="JSZ39" s="6"/>
      <c r="JTA39" s="6"/>
      <c r="JTB39" s="6"/>
      <c r="JTC39" s="6"/>
      <c r="JTD39" s="6"/>
      <c r="JTE39" s="6"/>
      <c r="JTF39" s="6"/>
      <c r="JTG39" s="6"/>
      <c r="JTH39" s="6"/>
      <c r="JTI39" s="6"/>
      <c r="JTJ39" s="6"/>
      <c r="JTK39" s="6"/>
      <c r="JTL39" s="6"/>
      <c r="JTM39" s="6"/>
      <c r="JTN39" s="6"/>
      <c r="JTO39" s="6"/>
      <c r="JTP39" s="6"/>
      <c r="JTQ39" s="6"/>
      <c r="JTR39" s="6"/>
      <c r="JTS39" s="6"/>
      <c r="JTT39" s="6"/>
      <c r="JTU39" s="6"/>
      <c r="JTV39" s="6"/>
      <c r="JTW39" s="6"/>
      <c r="JTX39" s="6"/>
      <c r="JTY39" s="6"/>
      <c r="JTZ39" s="6"/>
      <c r="JUA39" s="6"/>
      <c r="JUB39" s="6"/>
      <c r="JUC39" s="6"/>
      <c r="JUD39" s="6"/>
      <c r="JUE39" s="6"/>
      <c r="JUF39" s="6"/>
      <c r="JUG39" s="6"/>
      <c r="JUH39" s="6"/>
      <c r="JUI39" s="6"/>
      <c r="JUJ39" s="6"/>
      <c r="JUK39" s="6"/>
      <c r="JUL39" s="6"/>
      <c r="JUM39" s="6"/>
      <c r="JUN39" s="6"/>
      <c r="JUO39" s="6"/>
      <c r="JUP39" s="6"/>
      <c r="JUQ39" s="6"/>
      <c r="JUR39" s="6"/>
      <c r="JUS39" s="6"/>
      <c r="JUT39" s="6"/>
      <c r="JUU39" s="6"/>
      <c r="JUV39" s="6"/>
      <c r="JUW39" s="6"/>
      <c r="JUX39" s="6"/>
      <c r="JUY39" s="6"/>
      <c r="JUZ39" s="6"/>
      <c r="JVA39" s="6"/>
      <c r="JVB39" s="6"/>
      <c r="JVC39" s="6"/>
      <c r="JVD39" s="6"/>
      <c r="JVE39" s="6"/>
      <c r="JVF39" s="6"/>
      <c r="JVG39" s="6"/>
      <c r="JVH39" s="6"/>
      <c r="JVI39" s="6"/>
      <c r="JVJ39" s="6"/>
      <c r="JVK39" s="6"/>
      <c r="JVL39" s="6"/>
      <c r="JVM39" s="6"/>
      <c r="JVN39" s="6"/>
      <c r="JVO39" s="6"/>
      <c r="JVP39" s="6"/>
      <c r="JVQ39" s="6"/>
      <c r="JVR39" s="6"/>
      <c r="JVS39" s="6"/>
      <c r="JVT39" s="6"/>
      <c r="JVU39" s="6"/>
      <c r="JVV39" s="6"/>
      <c r="JVW39" s="6"/>
      <c r="JVX39" s="6"/>
      <c r="JVY39" s="6"/>
      <c r="JVZ39" s="6"/>
      <c r="JWA39" s="6"/>
      <c r="JWB39" s="6"/>
      <c r="JWC39" s="6"/>
      <c r="JWD39" s="6"/>
      <c r="JWE39" s="6"/>
      <c r="JWF39" s="6"/>
      <c r="JWG39" s="6"/>
      <c r="JWH39" s="6"/>
      <c r="JWI39" s="6"/>
      <c r="JWJ39" s="6"/>
      <c r="JWK39" s="6"/>
      <c r="JWL39" s="6"/>
      <c r="JWM39" s="6"/>
      <c r="JWN39" s="6"/>
      <c r="JWO39" s="6"/>
      <c r="JWP39" s="6"/>
      <c r="JWQ39" s="6"/>
      <c r="JWR39" s="6"/>
      <c r="JWS39" s="6"/>
      <c r="JWT39" s="6"/>
      <c r="JWU39" s="6"/>
      <c r="JWV39" s="6"/>
      <c r="JWW39" s="6"/>
      <c r="JWX39" s="6"/>
      <c r="JWY39" s="6"/>
      <c r="JWZ39" s="6"/>
      <c r="JXA39" s="6"/>
      <c r="JXB39" s="6"/>
      <c r="JXC39" s="6"/>
      <c r="JXD39" s="6"/>
      <c r="JXE39" s="6"/>
      <c r="JXF39" s="6"/>
      <c r="JXG39" s="6"/>
      <c r="JXH39" s="6"/>
      <c r="JXI39" s="6"/>
      <c r="JXJ39" s="6"/>
      <c r="JXK39" s="6"/>
      <c r="JXL39" s="6"/>
      <c r="JXM39" s="6"/>
      <c r="JXN39" s="6"/>
      <c r="JXO39" s="6"/>
      <c r="JXP39" s="6"/>
      <c r="JXQ39" s="6"/>
      <c r="JXR39" s="6"/>
      <c r="JXS39" s="6"/>
      <c r="JXT39" s="6"/>
      <c r="JXU39" s="6"/>
      <c r="JXV39" s="6"/>
      <c r="JXW39" s="6"/>
      <c r="JXX39" s="6"/>
      <c r="JXY39" s="6"/>
      <c r="JXZ39" s="6"/>
      <c r="JYA39" s="6"/>
      <c r="JYB39" s="6"/>
      <c r="JYC39" s="6"/>
      <c r="JYD39" s="6"/>
      <c r="JYE39" s="6"/>
      <c r="JYF39" s="6"/>
      <c r="JYG39" s="6"/>
      <c r="JYH39" s="6"/>
      <c r="JYI39" s="6"/>
      <c r="JYJ39" s="6"/>
      <c r="JYK39" s="6"/>
      <c r="JYL39" s="6"/>
      <c r="JYM39" s="6"/>
      <c r="JYN39" s="6"/>
      <c r="JYO39" s="6"/>
      <c r="JYP39" s="6"/>
      <c r="JYQ39" s="6"/>
      <c r="JYR39" s="6"/>
      <c r="JYS39" s="6"/>
      <c r="JYT39" s="6"/>
      <c r="JYU39" s="6"/>
      <c r="JYV39" s="6"/>
      <c r="JYW39" s="6"/>
      <c r="JYX39" s="6"/>
      <c r="JYY39" s="6"/>
      <c r="JYZ39" s="6"/>
      <c r="JZA39" s="6"/>
      <c r="JZB39" s="6"/>
      <c r="JZC39" s="6"/>
      <c r="JZD39" s="6"/>
      <c r="JZE39" s="6"/>
      <c r="JZF39" s="6"/>
      <c r="JZG39" s="6"/>
      <c r="JZH39" s="6"/>
      <c r="JZI39" s="6"/>
      <c r="JZJ39" s="6"/>
      <c r="JZK39" s="6"/>
      <c r="JZL39" s="6"/>
      <c r="JZM39" s="6"/>
      <c r="JZN39" s="6"/>
      <c r="JZO39" s="6"/>
      <c r="JZP39" s="6"/>
      <c r="JZQ39" s="6"/>
      <c r="JZR39" s="6"/>
      <c r="JZS39" s="6"/>
      <c r="JZT39" s="6"/>
      <c r="JZU39" s="6"/>
      <c r="JZV39" s="6"/>
      <c r="JZW39" s="6"/>
      <c r="JZX39" s="6"/>
      <c r="JZY39" s="6"/>
      <c r="JZZ39" s="6"/>
      <c r="KAA39" s="6"/>
      <c r="KAB39" s="6"/>
      <c r="KAC39" s="6"/>
      <c r="KAD39" s="6"/>
      <c r="KAE39" s="6"/>
      <c r="KAF39" s="6"/>
      <c r="KAG39" s="6"/>
      <c r="KAH39" s="6"/>
      <c r="KAI39" s="6"/>
      <c r="KAJ39" s="6"/>
      <c r="KAK39" s="6"/>
      <c r="KAL39" s="6"/>
      <c r="KAM39" s="6"/>
      <c r="KAN39" s="6"/>
      <c r="KAO39" s="6"/>
      <c r="KAP39" s="6"/>
      <c r="KAQ39" s="6"/>
      <c r="KAR39" s="6"/>
      <c r="KAS39" s="6"/>
      <c r="KAT39" s="6"/>
      <c r="KAU39" s="6"/>
      <c r="KAV39" s="6"/>
      <c r="KAW39" s="6"/>
      <c r="KAX39" s="6"/>
      <c r="KAY39" s="6"/>
      <c r="KAZ39" s="6"/>
      <c r="KBA39" s="6"/>
      <c r="KBB39" s="6"/>
      <c r="KBC39" s="6"/>
      <c r="KBD39" s="6"/>
      <c r="KBE39" s="6"/>
      <c r="KBF39" s="6"/>
      <c r="KBG39" s="6"/>
      <c r="KBH39" s="6"/>
      <c r="KBI39" s="6"/>
      <c r="KBJ39" s="6"/>
      <c r="KBK39" s="6"/>
      <c r="KBL39" s="6"/>
      <c r="KBM39" s="6"/>
      <c r="KBN39" s="6"/>
      <c r="KBO39" s="6"/>
      <c r="KBP39" s="6"/>
      <c r="KBQ39" s="6"/>
      <c r="KBR39" s="6"/>
      <c r="KBS39" s="6"/>
      <c r="KBT39" s="6"/>
      <c r="KBU39" s="6"/>
      <c r="KBV39" s="6"/>
      <c r="KBW39" s="6"/>
      <c r="KBX39" s="6"/>
      <c r="KBY39" s="6"/>
      <c r="KBZ39" s="6"/>
      <c r="KCA39" s="6"/>
      <c r="KCB39" s="6"/>
      <c r="KCC39" s="6"/>
      <c r="KCD39" s="6"/>
      <c r="KCE39" s="6"/>
      <c r="KCF39" s="6"/>
      <c r="KCG39" s="6"/>
      <c r="KCH39" s="6"/>
      <c r="KCI39" s="6"/>
      <c r="KCJ39" s="6"/>
      <c r="KCK39" s="6"/>
      <c r="KCL39" s="6"/>
      <c r="KCM39" s="6"/>
      <c r="KCN39" s="6"/>
      <c r="KCO39" s="6"/>
      <c r="KCP39" s="6"/>
      <c r="KCQ39" s="6"/>
      <c r="KCR39" s="6"/>
      <c r="KCS39" s="6"/>
      <c r="KCT39" s="6"/>
      <c r="KCU39" s="6"/>
      <c r="KCV39" s="6"/>
      <c r="KCW39" s="6"/>
      <c r="KCX39" s="6"/>
      <c r="KCY39" s="6"/>
      <c r="KCZ39" s="6"/>
      <c r="KDA39" s="6"/>
      <c r="KDB39" s="6"/>
      <c r="KDC39" s="6"/>
      <c r="KDD39" s="6"/>
      <c r="KDE39" s="6"/>
      <c r="KDF39" s="6"/>
      <c r="KDG39" s="6"/>
      <c r="KDH39" s="6"/>
      <c r="KDI39" s="6"/>
      <c r="KDJ39" s="6"/>
      <c r="KDK39" s="6"/>
      <c r="KDL39" s="6"/>
      <c r="KDM39" s="6"/>
      <c r="KDN39" s="6"/>
      <c r="KDO39" s="6"/>
      <c r="KDP39" s="6"/>
      <c r="KDQ39" s="6"/>
      <c r="KDR39" s="6"/>
      <c r="KDS39" s="6"/>
      <c r="KDT39" s="6"/>
      <c r="KDU39" s="6"/>
      <c r="KDV39" s="6"/>
      <c r="KDW39" s="6"/>
      <c r="KDX39" s="6"/>
      <c r="KDY39" s="6"/>
      <c r="KDZ39" s="6"/>
      <c r="KEA39" s="6"/>
      <c r="KEB39" s="6"/>
      <c r="KEC39" s="6"/>
      <c r="KED39" s="6"/>
      <c r="KEE39" s="6"/>
      <c r="KEF39" s="6"/>
      <c r="KEG39" s="6"/>
      <c r="KEH39" s="6"/>
      <c r="KEI39" s="6"/>
      <c r="KEJ39" s="6"/>
      <c r="KEK39" s="6"/>
      <c r="KEL39" s="6"/>
      <c r="KEM39" s="6"/>
      <c r="KEN39" s="6"/>
      <c r="KEO39" s="6"/>
      <c r="KEP39" s="6"/>
      <c r="KEQ39" s="6"/>
      <c r="KER39" s="6"/>
      <c r="KES39" s="6"/>
      <c r="KET39" s="6"/>
      <c r="KEU39" s="6"/>
      <c r="KEV39" s="6"/>
      <c r="KEW39" s="6"/>
      <c r="KEX39" s="6"/>
      <c r="KEY39" s="6"/>
      <c r="KEZ39" s="6"/>
      <c r="KFA39" s="6"/>
      <c r="KFB39" s="6"/>
      <c r="KFC39" s="6"/>
      <c r="KFD39" s="6"/>
      <c r="KFE39" s="6"/>
      <c r="KFF39" s="6"/>
      <c r="KFG39" s="6"/>
      <c r="KFH39" s="6"/>
      <c r="KFI39" s="6"/>
      <c r="KFJ39" s="6"/>
      <c r="KFK39" s="6"/>
      <c r="KFL39" s="6"/>
      <c r="KFM39" s="6"/>
      <c r="KFN39" s="6"/>
      <c r="KFO39" s="6"/>
      <c r="KFP39" s="6"/>
      <c r="KFQ39" s="6"/>
      <c r="KFR39" s="6"/>
      <c r="KFS39" s="6"/>
      <c r="KFT39" s="6"/>
      <c r="KFU39" s="6"/>
      <c r="KFV39" s="6"/>
      <c r="KFW39" s="6"/>
      <c r="KFX39" s="6"/>
      <c r="KFY39" s="6"/>
      <c r="KFZ39" s="6"/>
      <c r="KGA39" s="6"/>
      <c r="KGB39" s="6"/>
      <c r="KGC39" s="6"/>
      <c r="KGD39" s="6"/>
      <c r="KGE39" s="6"/>
      <c r="KGF39" s="6"/>
      <c r="KGG39" s="6"/>
      <c r="KGH39" s="6"/>
      <c r="KGI39" s="6"/>
      <c r="KGJ39" s="6"/>
      <c r="KGK39" s="6"/>
      <c r="KGL39" s="6"/>
      <c r="KGM39" s="6"/>
      <c r="KGN39" s="6"/>
      <c r="KGO39" s="6"/>
      <c r="KGP39" s="6"/>
      <c r="KGQ39" s="6"/>
      <c r="KGR39" s="6"/>
      <c r="KGS39" s="6"/>
      <c r="KGT39" s="6"/>
      <c r="KGU39" s="6"/>
      <c r="KGV39" s="6"/>
      <c r="KGW39" s="6"/>
      <c r="KGX39" s="6"/>
      <c r="KGY39" s="6"/>
      <c r="KGZ39" s="6"/>
      <c r="KHA39" s="6"/>
      <c r="KHB39" s="6"/>
      <c r="KHC39" s="6"/>
      <c r="KHD39" s="6"/>
      <c r="KHE39" s="6"/>
      <c r="KHF39" s="6"/>
      <c r="KHG39" s="6"/>
      <c r="KHH39" s="6"/>
      <c r="KHI39" s="6"/>
      <c r="KHJ39" s="6"/>
      <c r="KHK39" s="6"/>
      <c r="KHL39" s="6"/>
      <c r="KHM39" s="6"/>
      <c r="KHN39" s="6"/>
      <c r="KHO39" s="6"/>
      <c r="KHP39" s="6"/>
      <c r="KHQ39" s="6"/>
      <c r="KHR39" s="6"/>
      <c r="KHS39" s="6"/>
      <c r="KHT39" s="6"/>
      <c r="KHU39" s="6"/>
      <c r="KHV39" s="6"/>
      <c r="KHW39" s="6"/>
      <c r="KHX39" s="6"/>
      <c r="KHY39" s="6"/>
      <c r="KHZ39" s="6"/>
      <c r="KIA39" s="6"/>
      <c r="KIB39" s="6"/>
      <c r="KIC39" s="6"/>
      <c r="KID39" s="6"/>
      <c r="KIE39" s="6"/>
      <c r="KIF39" s="6"/>
      <c r="KIG39" s="6"/>
      <c r="KIH39" s="6"/>
      <c r="KII39" s="6"/>
      <c r="KIJ39" s="6"/>
      <c r="KIK39" s="6"/>
      <c r="KIL39" s="6"/>
      <c r="KIM39" s="6"/>
      <c r="KIN39" s="6"/>
      <c r="KIO39" s="6"/>
      <c r="KIP39" s="6"/>
      <c r="KIQ39" s="6"/>
      <c r="KIR39" s="6"/>
      <c r="KIS39" s="6"/>
      <c r="KIT39" s="6"/>
      <c r="KIU39" s="6"/>
      <c r="KIV39" s="6"/>
      <c r="KIW39" s="6"/>
      <c r="KIX39" s="6"/>
      <c r="KIY39" s="6"/>
      <c r="KIZ39" s="6"/>
      <c r="KJA39" s="6"/>
      <c r="KJB39" s="6"/>
      <c r="KJC39" s="6"/>
      <c r="KJD39" s="6"/>
      <c r="KJE39" s="6"/>
      <c r="KJF39" s="6"/>
      <c r="KJG39" s="6"/>
      <c r="KJH39" s="6"/>
      <c r="KJI39" s="6"/>
      <c r="KJJ39" s="6"/>
      <c r="KJK39" s="6"/>
      <c r="KJL39" s="6"/>
      <c r="KJM39" s="6"/>
      <c r="KJN39" s="6"/>
      <c r="KJO39" s="6"/>
      <c r="KJP39" s="6"/>
      <c r="KJQ39" s="6"/>
      <c r="KJR39" s="6"/>
      <c r="KJS39" s="6"/>
      <c r="KJT39" s="6"/>
      <c r="KJU39" s="6"/>
      <c r="KJV39" s="6"/>
      <c r="KJW39" s="6"/>
      <c r="KJX39" s="6"/>
      <c r="KJY39" s="6"/>
      <c r="KJZ39" s="6"/>
      <c r="KKA39" s="6"/>
      <c r="KKB39" s="6"/>
      <c r="KKC39" s="6"/>
      <c r="KKD39" s="6"/>
      <c r="KKE39" s="6"/>
      <c r="KKF39" s="6"/>
      <c r="KKG39" s="6"/>
      <c r="KKH39" s="6"/>
      <c r="KKI39" s="6"/>
      <c r="KKJ39" s="6"/>
      <c r="KKK39" s="6"/>
      <c r="KKL39" s="6"/>
      <c r="KKM39" s="6"/>
      <c r="KKN39" s="6"/>
      <c r="KKO39" s="6"/>
      <c r="KKP39" s="6"/>
      <c r="KKQ39" s="6"/>
      <c r="KKR39" s="6"/>
      <c r="KKS39" s="6"/>
      <c r="KKT39" s="6"/>
      <c r="KKU39" s="6"/>
      <c r="KKV39" s="6"/>
      <c r="KKW39" s="6"/>
      <c r="KKX39" s="6"/>
      <c r="KKY39" s="6"/>
      <c r="KKZ39" s="6"/>
      <c r="KLA39" s="6"/>
      <c r="KLB39" s="6"/>
      <c r="KLC39" s="6"/>
      <c r="KLD39" s="6"/>
      <c r="KLE39" s="6"/>
      <c r="KLF39" s="6"/>
      <c r="KLG39" s="6"/>
      <c r="KLH39" s="6"/>
      <c r="KLI39" s="6"/>
      <c r="KLJ39" s="6"/>
      <c r="KLK39" s="6"/>
      <c r="KLL39" s="6"/>
      <c r="KLM39" s="6"/>
      <c r="KLN39" s="6"/>
      <c r="KLO39" s="6"/>
      <c r="KLP39" s="6"/>
      <c r="KLQ39" s="6"/>
      <c r="KLR39" s="6"/>
      <c r="KLS39" s="6"/>
      <c r="KLT39" s="6"/>
      <c r="KLU39" s="6"/>
      <c r="KLV39" s="6"/>
      <c r="KLW39" s="6"/>
      <c r="KLX39" s="6"/>
      <c r="KLY39" s="6"/>
      <c r="KLZ39" s="6"/>
      <c r="KMA39" s="6"/>
      <c r="KMB39" s="6"/>
      <c r="KMC39" s="6"/>
      <c r="KMD39" s="6"/>
      <c r="KME39" s="6"/>
      <c r="KMF39" s="6"/>
      <c r="KMG39" s="6"/>
      <c r="KMH39" s="6"/>
      <c r="KMI39" s="6"/>
      <c r="KMJ39" s="6"/>
      <c r="KMK39" s="6"/>
      <c r="KML39" s="6"/>
      <c r="KMM39" s="6"/>
      <c r="KMN39" s="6"/>
      <c r="KMO39" s="6"/>
      <c r="KMP39" s="6"/>
      <c r="KMQ39" s="6"/>
      <c r="KMR39" s="6"/>
      <c r="KMS39" s="6"/>
      <c r="KMT39" s="6"/>
      <c r="KMU39" s="6"/>
      <c r="KMV39" s="6"/>
      <c r="KMW39" s="6"/>
      <c r="KMX39" s="6"/>
      <c r="KMY39" s="6"/>
      <c r="KMZ39" s="6"/>
      <c r="KNA39" s="6"/>
      <c r="KNB39" s="6"/>
      <c r="KNC39" s="6"/>
      <c r="KND39" s="6"/>
      <c r="KNE39" s="6"/>
      <c r="KNF39" s="6"/>
      <c r="KNG39" s="6"/>
      <c r="KNH39" s="6"/>
      <c r="KNI39" s="6"/>
      <c r="KNJ39" s="6"/>
      <c r="KNK39" s="6"/>
      <c r="KNL39" s="6"/>
      <c r="KNM39" s="6"/>
      <c r="KNN39" s="6"/>
      <c r="KNO39" s="6"/>
      <c r="KNP39" s="6"/>
      <c r="KNQ39" s="6"/>
      <c r="KNR39" s="6"/>
      <c r="KNS39" s="6"/>
      <c r="KNT39" s="6"/>
      <c r="KNU39" s="6"/>
      <c r="KNV39" s="6"/>
      <c r="KNW39" s="6"/>
      <c r="KNX39" s="6"/>
      <c r="KNY39" s="6"/>
      <c r="KNZ39" s="6"/>
      <c r="KOA39" s="6"/>
      <c r="KOB39" s="6"/>
      <c r="KOC39" s="6"/>
      <c r="KOD39" s="6"/>
      <c r="KOE39" s="6"/>
      <c r="KOF39" s="6"/>
      <c r="KOG39" s="6"/>
      <c r="KOH39" s="6"/>
      <c r="KOI39" s="6"/>
      <c r="KOJ39" s="6"/>
      <c r="KOK39" s="6"/>
      <c r="KOL39" s="6"/>
      <c r="KOM39" s="6"/>
      <c r="KON39" s="6"/>
      <c r="KOO39" s="6"/>
      <c r="KOP39" s="6"/>
      <c r="KOQ39" s="6"/>
      <c r="KOR39" s="6"/>
      <c r="KOS39" s="6"/>
      <c r="KOT39" s="6"/>
      <c r="KOU39" s="6"/>
      <c r="KOV39" s="6"/>
      <c r="KOW39" s="6"/>
      <c r="KOX39" s="6"/>
      <c r="KOY39" s="6"/>
      <c r="KOZ39" s="6"/>
      <c r="KPA39" s="6"/>
      <c r="KPB39" s="6"/>
      <c r="KPC39" s="6"/>
      <c r="KPD39" s="6"/>
      <c r="KPE39" s="6"/>
      <c r="KPF39" s="6"/>
      <c r="KPG39" s="6"/>
      <c r="KPH39" s="6"/>
      <c r="KPI39" s="6"/>
      <c r="KPJ39" s="6"/>
      <c r="KPK39" s="6"/>
      <c r="KPL39" s="6"/>
      <c r="KPM39" s="6"/>
      <c r="KPN39" s="6"/>
      <c r="KPO39" s="6"/>
      <c r="KPP39" s="6"/>
      <c r="KPQ39" s="6"/>
      <c r="KPR39" s="6"/>
      <c r="KPS39" s="6"/>
      <c r="KPT39" s="6"/>
      <c r="KPU39" s="6"/>
      <c r="KPV39" s="6"/>
      <c r="KPW39" s="6"/>
      <c r="KPX39" s="6"/>
      <c r="KPY39" s="6"/>
      <c r="KPZ39" s="6"/>
      <c r="KQA39" s="6"/>
      <c r="KQB39" s="6"/>
      <c r="KQC39" s="6"/>
      <c r="KQD39" s="6"/>
      <c r="KQE39" s="6"/>
      <c r="KQF39" s="6"/>
      <c r="KQG39" s="6"/>
      <c r="KQH39" s="6"/>
      <c r="KQI39" s="6"/>
      <c r="KQJ39" s="6"/>
      <c r="KQK39" s="6"/>
      <c r="KQL39" s="6"/>
      <c r="KQM39" s="6"/>
      <c r="KQN39" s="6"/>
      <c r="KQO39" s="6"/>
      <c r="KQP39" s="6"/>
      <c r="KQQ39" s="6"/>
      <c r="KQR39" s="6"/>
      <c r="KQS39" s="6"/>
      <c r="KQT39" s="6"/>
      <c r="KQU39" s="6"/>
      <c r="KQV39" s="6"/>
      <c r="KQW39" s="6"/>
      <c r="KQX39" s="6"/>
      <c r="KQY39" s="6"/>
      <c r="KQZ39" s="6"/>
      <c r="KRA39" s="6"/>
      <c r="KRB39" s="6"/>
      <c r="KRC39" s="6"/>
      <c r="KRD39" s="6"/>
      <c r="KRE39" s="6"/>
      <c r="KRF39" s="6"/>
      <c r="KRG39" s="6"/>
      <c r="KRH39" s="6"/>
      <c r="KRI39" s="6"/>
      <c r="KRJ39" s="6"/>
      <c r="KRK39" s="6"/>
      <c r="KRL39" s="6"/>
      <c r="KRM39" s="6"/>
      <c r="KRN39" s="6"/>
      <c r="KRO39" s="6"/>
      <c r="KRP39" s="6"/>
      <c r="KRQ39" s="6"/>
      <c r="KRR39" s="6"/>
      <c r="KRS39" s="6"/>
      <c r="KRT39" s="6"/>
      <c r="KRU39" s="6"/>
      <c r="KRV39" s="6"/>
      <c r="KRW39" s="6"/>
      <c r="KRX39" s="6"/>
      <c r="KRY39" s="6"/>
      <c r="KRZ39" s="6"/>
      <c r="KSA39" s="6"/>
      <c r="KSB39" s="6"/>
      <c r="KSC39" s="6"/>
      <c r="KSD39" s="6"/>
      <c r="KSE39" s="6"/>
      <c r="KSF39" s="6"/>
      <c r="KSG39" s="6"/>
      <c r="KSH39" s="6"/>
      <c r="KSI39" s="6"/>
      <c r="KSJ39" s="6"/>
      <c r="KSK39" s="6"/>
      <c r="KSL39" s="6"/>
      <c r="KSM39" s="6"/>
      <c r="KSN39" s="6"/>
      <c r="KSO39" s="6"/>
      <c r="KSP39" s="6"/>
      <c r="KSQ39" s="6"/>
      <c r="KSR39" s="6"/>
      <c r="KSS39" s="6"/>
      <c r="KST39" s="6"/>
      <c r="KSU39" s="6"/>
      <c r="KSV39" s="6"/>
      <c r="KSW39" s="6"/>
      <c r="KSX39" s="6"/>
      <c r="KSY39" s="6"/>
      <c r="KSZ39" s="6"/>
      <c r="KTA39" s="6"/>
      <c r="KTB39" s="6"/>
      <c r="KTC39" s="6"/>
      <c r="KTD39" s="6"/>
      <c r="KTE39" s="6"/>
      <c r="KTF39" s="6"/>
      <c r="KTG39" s="6"/>
      <c r="KTH39" s="6"/>
      <c r="KTI39" s="6"/>
      <c r="KTJ39" s="6"/>
      <c r="KTK39" s="6"/>
      <c r="KTL39" s="6"/>
      <c r="KTM39" s="6"/>
      <c r="KTN39" s="6"/>
      <c r="KTO39" s="6"/>
      <c r="KTP39" s="6"/>
      <c r="KTQ39" s="6"/>
      <c r="KTR39" s="6"/>
      <c r="KTS39" s="6"/>
      <c r="KTT39" s="6"/>
      <c r="KTU39" s="6"/>
      <c r="KTV39" s="6"/>
      <c r="KTW39" s="6"/>
      <c r="KTX39" s="6"/>
      <c r="KTY39" s="6"/>
      <c r="KTZ39" s="6"/>
      <c r="KUA39" s="6"/>
      <c r="KUB39" s="6"/>
      <c r="KUC39" s="6"/>
      <c r="KUD39" s="6"/>
      <c r="KUE39" s="6"/>
      <c r="KUF39" s="6"/>
      <c r="KUG39" s="6"/>
      <c r="KUH39" s="6"/>
      <c r="KUI39" s="6"/>
      <c r="KUJ39" s="6"/>
      <c r="KUK39" s="6"/>
      <c r="KUL39" s="6"/>
      <c r="KUM39" s="6"/>
      <c r="KUN39" s="6"/>
      <c r="KUO39" s="6"/>
      <c r="KUP39" s="6"/>
      <c r="KUQ39" s="6"/>
      <c r="KUR39" s="6"/>
      <c r="KUS39" s="6"/>
      <c r="KUT39" s="6"/>
      <c r="KUU39" s="6"/>
      <c r="KUV39" s="6"/>
      <c r="KUW39" s="6"/>
      <c r="KUX39" s="6"/>
      <c r="KUY39" s="6"/>
      <c r="KUZ39" s="6"/>
      <c r="KVA39" s="6"/>
      <c r="KVB39" s="6"/>
      <c r="KVC39" s="6"/>
      <c r="KVD39" s="6"/>
      <c r="KVE39" s="6"/>
      <c r="KVF39" s="6"/>
      <c r="KVG39" s="6"/>
      <c r="KVH39" s="6"/>
      <c r="KVI39" s="6"/>
      <c r="KVJ39" s="6"/>
      <c r="KVK39" s="6"/>
      <c r="KVL39" s="6"/>
      <c r="KVM39" s="6"/>
      <c r="KVN39" s="6"/>
      <c r="KVO39" s="6"/>
      <c r="KVP39" s="6"/>
      <c r="KVQ39" s="6"/>
      <c r="KVR39" s="6"/>
      <c r="KVS39" s="6"/>
      <c r="KVT39" s="6"/>
      <c r="KVU39" s="6"/>
      <c r="KVV39" s="6"/>
      <c r="KVW39" s="6"/>
      <c r="KVX39" s="6"/>
      <c r="KVY39" s="6"/>
      <c r="KVZ39" s="6"/>
      <c r="KWA39" s="6"/>
      <c r="KWB39" s="6"/>
      <c r="KWC39" s="6"/>
      <c r="KWD39" s="6"/>
      <c r="KWE39" s="6"/>
      <c r="KWF39" s="6"/>
      <c r="KWG39" s="6"/>
      <c r="KWH39" s="6"/>
      <c r="KWI39" s="6"/>
      <c r="KWJ39" s="6"/>
      <c r="KWK39" s="6"/>
      <c r="KWL39" s="6"/>
      <c r="KWM39" s="6"/>
      <c r="KWN39" s="6"/>
      <c r="KWO39" s="6"/>
      <c r="KWP39" s="6"/>
      <c r="KWQ39" s="6"/>
      <c r="KWR39" s="6"/>
      <c r="KWS39" s="6"/>
      <c r="KWT39" s="6"/>
      <c r="KWU39" s="6"/>
      <c r="KWV39" s="6"/>
      <c r="KWW39" s="6"/>
      <c r="KWX39" s="6"/>
      <c r="KWY39" s="6"/>
      <c r="KWZ39" s="6"/>
      <c r="KXA39" s="6"/>
      <c r="KXB39" s="6"/>
      <c r="KXC39" s="6"/>
      <c r="KXD39" s="6"/>
      <c r="KXE39" s="6"/>
      <c r="KXF39" s="6"/>
      <c r="KXG39" s="6"/>
      <c r="KXH39" s="6"/>
      <c r="KXI39" s="6"/>
      <c r="KXJ39" s="6"/>
      <c r="KXK39" s="6"/>
      <c r="KXL39" s="6"/>
      <c r="KXM39" s="6"/>
      <c r="KXN39" s="6"/>
      <c r="KXO39" s="6"/>
      <c r="KXP39" s="6"/>
      <c r="KXQ39" s="6"/>
      <c r="KXR39" s="6"/>
      <c r="KXS39" s="6"/>
      <c r="KXT39" s="6"/>
      <c r="KXU39" s="6"/>
      <c r="KXV39" s="6"/>
      <c r="KXW39" s="6"/>
      <c r="KXX39" s="6"/>
      <c r="KXY39" s="6"/>
      <c r="KXZ39" s="6"/>
      <c r="KYA39" s="6"/>
      <c r="KYB39" s="6"/>
      <c r="KYC39" s="6"/>
      <c r="KYD39" s="6"/>
      <c r="KYE39" s="6"/>
      <c r="KYF39" s="6"/>
      <c r="KYG39" s="6"/>
      <c r="KYH39" s="6"/>
      <c r="KYI39" s="6"/>
      <c r="KYJ39" s="6"/>
      <c r="KYK39" s="6"/>
      <c r="KYL39" s="6"/>
      <c r="KYM39" s="6"/>
      <c r="KYN39" s="6"/>
      <c r="KYO39" s="6"/>
      <c r="KYP39" s="6"/>
      <c r="KYQ39" s="6"/>
      <c r="KYR39" s="6"/>
      <c r="KYS39" s="6"/>
      <c r="KYT39" s="6"/>
      <c r="KYU39" s="6"/>
      <c r="KYV39" s="6"/>
      <c r="KYW39" s="6"/>
      <c r="KYX39" s="6"/>
      <c r="KYY39" s="6"/>
      <c r="KYZ39" s="6"/>
      <c r="KZA39" s="6"/>
      <c r="KZB39" s="6"/>
      <c r="KZC39" s="6"/>
      <c r="KZD39" s="6"/>
      <c r="KZE39" s="6"/>
      <c r="KZF39" s="6"/>
      <c r="KZG39" s="6"/>
      <c r="KZH39" s="6"/>
      <c r="KZI39" s="6"/>
      <c r="KZJ39" s="6"/>
      <c r="KZK39" s="6"/>
      <c r="KZL39" s="6"/>
      <c r="KZM39" s="6"/>
      <c r="KZN39" s="6"/>
      <c r="KZO39" s="6"/>
      <c r="KZP39" s="6"/>
      <c r="KZQ39" s="6"/>
      <c r="KZR39" s="6"/>
      <c r="KZS39" s="6"/>
      <c r="KZT39" s="6"/>
      <c r="KZU39" s="6"/>
      <c r="KZV39" s="6"/>
      <c r="KZW39" s="6"/>
      <c r="KZX39" s="6"/>
      <c r="KZY39" s="6"/>
      <c r="KZZ39" s="6"/>
      <c r="LAA39" s="6"/>
      <c r="LAB39" s="6"/>
      <c r="LAC39" s="6"/>
      <c r="LAD39" s="6"/>
      <c r="LAE39" s="6"/>
      <c r="LAF39" s="6"/>
      <c r="LAG39" s="6"/>
      <c r="LAH39" s="6"/>
      <c r="LAI39" s="6"/>
      <c r="LAJ39" s="6"/>
      <c r="LAK39" s="6"/>
      <c r="LAL39" s="6"/>
      <c r="LAM39" s="6"/>
      <c r="LAN39" s="6"/>
      <c r="LAO39" s="6"/>
      <c r="LAP39" s="6"/>
      <c r="LAQ39" s="6"/>
      <c r="LAR39" s="6"/>
      <c r="LAS39" s="6"/>
      <c r="LAT39" s="6"/>
      <c r="LAU39" s="6"/>
      <c r="LAV39" s="6"/>
      <c r="LAW39" s="6"/>
      <c r="LAX39" s="6"/>
      <c r="LAY39" s="6"/>
      <c r="LAZ39" s="6"/>
      <c r="LBA39" s="6"/>
      <c r="LBB39" s="6"/>
      <c r="LBC39" s="6"/>
      <c r="LBD39" s="6"/>
      <c r="LBE39" s="6"/>
      <c r="LBF39" s="6"/>
      <c r="LBG39" s="6"/>
      <c r="LBH39" s="6"/>
      <c r="LBI39" s="6"/>
      <c r="LBJ39" s="6"/>
      <c r="LBK39" s="6"/>
      <c r="LBL39" s="6"/>
      <c r="LBM39" s="6"/>
      <c r="LBN39" s="6"/>
      <c r="LBO39" s="6"/>
      <c r="LBP39" s="6"/>
      <c r="LBQ39" s="6"/>
      <c r="LBR39" s="6"/>
      <c r="LBS39" s="6"/>
      <c r="LBT39" s="6"/>
      <c r="LBU39" s="6"/>
      <c r="LBV39" s="6"/>
      <c r="LBW39" s="6"/>
      <c r="LBX39" s="6"/>
      <c r="LBY39" s="6"/>
      <c r="LBZ39" s="6"/>
      <c r="LCA39" s="6"/>
      <c r="LCB39" s="6"/>
      <c r="LCC39" s="6"/>
      <c r="LCD39" s="6"/>
      <c r="LCE39" s="6"/>
      <c r="LCF39" s="6"/>
      <c r="LCG39" s="6"/>
      <c r="LCH39" s="6"/>
      <c r="LCI39" s="6"/>
      <c r="LCJ39" s="6"/>
      <c r="LCK39" s="6"/>
      <c r="LCL39" s="6"/>
      <c r="LCM39" s="6"/>
      <c r="LCN39" s="6"/>
      <c r="LCO39" s="6"/>
      <c r="LCP39" s="6"/>
      <c r="LCQ39" s="6"/>
      <c r="LCR39" s="6"/>
      <c r="LCS39" s="6"/>
      <c r="LCT39" s="6"/>
      <c r="LCU39" s="6"/>
      <c r="LCV39" s="6"/>
      <c r="LCW39" s="6"/>
      <c r="LCX39" s="6"/>
      <c r="LCY39" s="6"/>
      <c r="LCZ39" s="6"/>
      <c r="LDA39" s="6"/>
      <c r="LDB39" s="6"/>
      <c r="LDC39" s="6"/>
      <c r="LDD39" s="6"/>
      <c r="LDE39" s="6"/>
      <c r="LDF39" s="6"/>
      <c r="LDG39" s="6"/>
      <c r="LDH39" s="6"/>
      <c r="LDI39" s="6"/>
      <c r="LDJ39" s="6"/>
      <c r="LDK39" s="6"/>
      <c r="LDL39" s="6"/>
      <c r="LDM39" s="6"/>
      <c r="LDN39" s="6"/>
      <c r="LDO39" s="6"/>
      <c r="LDP39" s="6"/>
      <c r="LDQ39" s="6"/>
      <c r="LDR39" s="6"/>
      <c r="LDS39" s="6"/>
      <c r="LDT39" s="6"/>
      <c r="LDU39" s="6"/>
      <c r="LDV39" s="6"/>
      <c r="LDW39" s="6"/>
      <c r="LDX39" s="6"/>
      <c r="LDY39" s="6"/>
      <c r="LDZ39" s="6"/>
      <c r="LEA39" s="6"/>
      <c r="LEB39" s="6"/>
      <c r="LEC39" s="6"/>
      <c r="LED39" s="6"/>
      <c r="LEE39" s="6"/>
      <c r="LEF39" s="6"/>
      <c r="LEG39" s="6"/>
      <c r="LEH39" s="6"/>
      <c r="LEI39" s="6"/>
      <c r="LEJ39" s="6"/>
      <c r="LEK39" s="6"/>
      <c r="LEL39" s="6"/>
      <c r="LEM39" s="6"/>
      <c r="LEN39" s="6"/>
      <c r="LEO39" s="6"/>
      <c r="LEP39" s="6"/>
      <c r="LEQ39" s="6"/>
      <c r="LER39" s="6"/>
      <c r="LES39" s="6"/>
      <c r="LET39" s="6"/>
      <c r="LEU39" s="6"/>
      <c r="LEV39" s="6"/>
      <c r="LEW39" s="6"/>
      <c r="LEX39" s="6"/>
      <c r="LEY39" s="6"/>
      <c r="LEZ39" s="6"/>
      <c r="LFA39" s="6"/>
      <c r="LFB39" s="6"/>
      <c r="LFC39" s="6"/>
      <c r="LFD39" s="6"/>
      <c r="LFE39" s="6"/>
      <c r="LFF39" s="6"/>
      <c r="LFG39" s="6"/>
      <c r="LFH39" s="6"/>
      <c r="LFI39" s="6"/>
      <c r="LFJ39" s="6"/>
      <c r="LFK39" s="6"/>
      <c r="LFL39" s="6"/>
      <c r="LFM39" s="6"/>
      <c r="LFN39" s="6"/>
      <c r="LFO39" s="6"/>
      <c r="LFP39" s="6"/>
      <c r="LFQ39" s="6"/>
      <c r="LFR39" s="6"/>
      <c r="LFS39" s="6"/>
      <c r="LFT39" s="6"/>
      <c r="LFU39" s="6"/>
      <c r="LFV39" s="6"/>
      <c r="LFW39" s="6"/>
      <c r="LFX39" s="6"/>
      <c r="LFY39" s="6"/>
      <c r="LFZ39" s="6"/>
      <c r="LGA39" s="6"/>
      <c r="LGB39" s="6"/>
      <c r="LGC39" s="6"/>
      <c r="LGD39" s="6"/>
      <c r="LGE39" s="6"/>
      <c r="LGF39" s="6"/>
      <c r="LGG39" s="6"/>
      <c r="LGH39" s="6"/>
      <c r="LGI39" s="6"/>
      <c r="LGJ39" s="6"/>
      <c r="LGK39" s="6"/>
      <c r="LGL39" s="6"/>
      <c r="LGM39" s="6"/>
      <c r="LGN39" s="6"/>
      <c r="LGO39" s="6"/>
      <c r="LGP39" s="6"/>
      <c r="LGQ39" s="6"/>
      <c r="LGR39" s="6"/>
      <c r="LGS39" s="6"/>
      <c r="LGT39" s="6"/>
      <c r="LGU39" s="6"/>
      <c r="LGV39" s="6"/>
      <c r="LGW39" s="6"/>
      <c r="LGX39" s="6"/>
      <c r="LGY39" s="6"/>
      <c r="LGZ39" s="6"/>
      <c r="LHA39" s="6"/>
      <c r="LHB39" s="6"/>
      <c r="LHC39" s="6"/>
      <c r="LHD39" s="6"/>
      <c r="LHE39" s="6"/>
      <c r="LHF39" s="6"/>
      <c r="LHG39" s="6"/>
      <c r="LHH39" s="6"/>
      <c r="LHI39" s="6"/>
      <c r="LHJ39" s="6"/>
      <c r="LHK39" s="6"/>
      <c r="LHL39" s="6"/>
      <c r="LHM39" s="6"/>
      <c r="LHN39" s="6"/>
      <c r="LHO39" s="6"/>
      <c r="LHP39" s="6"/>
      <c r="LHQ39" s="6"/>
      <c r="LHR39" s="6"/>
      <c r="LHS39" s="6"/>
      <c r="LHT39" s="6"/>
      <c r="LHU39" s="6"/>
      <c r="LHV39" s="6"/>
      <c r="LHW39" s="6"/>
      <c r="LHX39" s="6"/>
      <c r="LHY39" s="6"/>
      <c r="LHZ39" s="6"/>
      <c r="LIA39" s="6"/>
      <c r="LIB39" s="6"/>
      <c r="LIC39" s="6"/>
      <c r="LID39" s="6"/>
      <c r="LIE39" s="6"/>
      <c r="LIF39" s="6"/>
      <c r="LIG39" s="6"/>
      <c r="LIH39" s="6"/>
      <c r="LII39" s="6"/>
      <c r="LIJ39" s="6"/>
      <c r="LIK39" s="6"/>
      <c r="LIL39" s="6"/>
      <c r="LIM39" s="6"/>
      <c r="LIN39" s="6"/>
      <c r="LIO39" s="6"/>
      <c r="LIP39" s="6"/>
      <c r="LIQ39" s="6"/>
      <c r="LIR39" s="6"/>
      <c r="LIS39" s="6"/>
      <c r="LIT39" s="6"/>
      <c r="LIU39" s="6"/>
      <c r="LIV39" s="6"/>
      <c r="LIW39" s="6"/>
      <c r="LIX39" s="6"/>
      <c r="LIY39" s="6"/>
      <c r="LIZ39" s="6"/>
      <c r="LJA39" s="6"/>
      <c r="LJB39" s="6"/>
      <c r="LJC39" s="6"/>
      <c r="LJD39" s="6"/>
      <c r="LJE39" s="6"/>
      <c r="LJF39" s="6"/>
      <c r="LJG39" s="6"/>
      <c r="LJH39" s="6"/>
      <c r="LJI39" s="6"/>
      <c r="LJJ39" s="6"/>
      <c r="LJK39" s="6"/>
      <c r="LJL39" s="6"/>
      <c r="LJM39" s="6"/>
      <c r="LJN39" s="6"/>
      <c r="LJO39" s="6"/>
      <c r="LJP39" s="6"/>
      <c r="LJQ39" s="6"/>
      <c r="LJR39" s="6"/>
      <c r="LJS39" s="6"/>
      <c r="LJT39" s="6"/>
      <c r="LJU39" s="6"/>
      <c r="LJV39" s="6"/>
      <c r="LJW39" s="6"/>
      <c r="LJX39" s="6"/>
      <c r="LJY39" s="6"/>
      <c r="LJZ39" s="6"/>
      <c r="LKA39" s="6"/>
      <c r="LKB39" s="6"/>
      <c r="LKC39" s="6"/>
      <c r="LKD39" s="6"/>
      <c r="LKE39" s="6"/>
      <c r="LKF39" s="6"/>
      <c r="LKG39" s="6"/>
      <c r="LKH39" s="6"/>
      <c r="LKI39" s="6"/>
      <c r="LKJ39" s="6"/>
      <c r="LKK39" s="6"/>
      <c r="LKL39" s="6"/>
      <c r="LKM39" s="6"/>
      <c r="LKN39" s="6"/>
      <c r="LKO39" s="6"/>
      <c r="LKP39" s="6"/>
      <c r="LKQ39" s="6"/>
      <c r="LKR39" s="6"/>
      <c r="LKS39" s="6"/>
      <c r="LKT39" s="6"/>
      <c r="LKU39" s="6"/>
      <c r="LKV39" s="6"/>
      <c r="LKW39" s="6"/>
      <c r="LKX39" s="6"/>
      <c r="LKY39" s="6"/>
      <c r="LKZ39" s="6"/>
      <c r="LLA39" s="6"/>
      <c r="LLB39" s="6"/>
      <c r="LLC39" s="6"/>
      <c r="LLD39" s="6"/>
      <c r="LLE39" s="6"/>
      <c r="LLF39" s="6"/>
      <c r="LLG39" s="6"/>
      <c r="LLH39" s="6"/>
      <c r="LLI39" s="6"/>
      <c r="LLJ39" s="6"/>
      <c r="LLK39" s="6"/>
      <c r="LLL39" s="6"/>
      <c r="LLM39" s="6"/>
      <c r="LLN39" s="6"/>
      <c r="LLO39" s="6"/>
      <c r="LLP39" s="6"/>
      <c r="LLQ39" s="6"/>
      <c r="LLR39" s="6"/>
      <c r="LLS39" s="6"/>
      <c r="LLT39" s="6"/>
      <c r="LLU39" s="6"/>
      <c r="LLV39" s="6"/>
      <c r="LLW39" s="6"/>
      <c r="LLX39" s="6"/>
      <c r="LLY39" s="6"/>
      <c r="LLZ39" s="6"/>
      <c r="LMA39" s="6"/>
      <c r="LMB39" s="6"/>
      <c r="LMC39" s="6"/>
      <c r="LMD39" s="6"/>
      <c r="LME39" s="6"/>
      <c r="LMF39" s="6"/>
      <c r="LMG39" s="6"/>
      <c r="LMH39" s="6"/>
      <c r="LMI39" s="6"/>
      <c r="LMJ39" s="6"/>
      <c r="LMK39" s="6"/>
      <c r="LML39" s="6"/>
      <c r="LMM39" s="6"/>
      <c r="LMN39" s="6"/>
      <c r="LMO39" s="6"/>
      <c r="LMP39" s="6"/>
      <c r="LMQ39" s="6"/>
      <c r="LMR39" s="6"/>
      <c r="LMS39" s="6"/>
      <c r="LMT39" s="6"/>
      <c r="LMU39" s="6"/>
      <c r="LMV39" s="6"/>
      <c r="LMW39" s="6"/>
      <c r="LMX39" s="6"/>
      <c r="LMY39" s="6"/>
      <c r="LMZ39" s="6"/>
      <c r="LNA39" s="6"/>
      <c r="LNB39" s="6"/>
      <c r="LNC39" s="6"/>
      <c r="LND39" s="6"/>
      <c r="LNE39" s="6"/>
      <c r="LNF39" s="6"/>
      <c r="LNG39" s="6"/>
      <c r="LNH39" s="6"/>
      <c r="LNI39" s="6"/>
      <c r="LNJ39" s="6"/>
      <c r="LNK39" s="6"/>
      <c r="LNL39" s="6"/>
      <c r="LNM39" s="6"/>
      <c r="LNN39" s="6"/>
      <c r="LNO39" s="6"/>
      <c r="LNP39" s="6"/>
      <c r="LNQ39" s="6"/>
      <c r="LNR39" s="6"/>
      <c r="LNS39" s="6"/>
      <c r="LNT39" s="6"/>
      <c r="LNU39" s="6"/>
      <c r="LNV39" s="6"/>
      <c r="LNW39" s="6"/>
      <c r="LNX39" s="6"/>
      <c r="LNY39" s="6"/>
      <c r="LNZ39" s="6"/>
      <c r="LOA39" s="6"/>
      <c r="LOB39" s="6"/>
      <c r="LOC39" s="6"/>
      <c r="LOD39" s="6"/>
      <c r="LOE39" s="6"/>
      <c r="LOF39" s="6"/>
      <c r="LOG39" s="6"/>
      <c r="LOH39" s="6"/>
      <c r="LOI39" s="6"/>
      <c r="LOJ39" s="6"/>
      <c r="LOK39" s="6"/>
      <c r="LOL39" s="6"/>
      <c r="LOM39" s="6"/>
      <c r="LON39" s="6"/>
      <c r="LOO39" s="6"/>
      <c r="LOP39" s="6"/>
      <c r="LOQ39" s="6"/>
      <c r="LOR39" s="6"/>
      <c r="LOS39" s="6"/>
      <c r="LOT39" s="6"/>
      <c r="LOU39" s="6"/>
      <c r="LOV39" s="6"/>
      <c r="LOW39" s="6"/>
      <c r="LOX39" s="6"/>
      <c r="LOY39" s="6"/>
      <c r="LOZ39" s="6"/>
      <c r="LPA39" s="6"/>
      <c r="LPB39" s="6"/>
      <c r="LPC39" s="6"/>
      <c r="LPD39" s="6"/>
      <c r="LPE39" s="6"/>
      <c r="LPF39" s="6"/>
      <c r="LPG39" s="6"/>
      <c r="LPH39" s="6"/>
      <c r="LPI39" s="6"/>
      <c r="LPJ39" s="6"/>
      <c r="LPK39" s="6"/>
      <c r="LPL39" s="6"/>
      <c r="LPM39" s="6"/>
      <c r="LPN39" s="6"/>
      <c r="LPO39" s="6"/>
      <c r="LPP39" s="6"/>
      <c r="LPQ39" s="6"/>
      <c r="LPR39" s="6"/>
      <c r="LPS39" s="6"/>
      <c r="LPT39" s="6"/>
      <c r="LPU39" s="6"/>
      <c r="LPV39" s="6"/>
      <c r="LPW39" s="6"/>
      <c r="LPX39" s="6"/>
      <c r="LPY39" s="6"/>
      <c r="LPZ39" s="6"/>
      <c r="LQA39" s="6"/>
      <c r="LQB39" s="6"/>
      <c r="LQC39" s="6"/>
      <c r="LQD39" s="6"/>
      <c r="LQE39" s="6"/>
      <c r="LQF39" s="6"/>
      <c r="LQG39" s="6"/>
      <c r="LQH39" s="6"/>
      <c r="LQI39" s="6"/>
      <c r="LQJ39" s="6"/>
      <c r="LQK39" s="6"/>
      <c r="LQL39" s="6"/>
      <c r="LQM39" s="6"/>
      <c r="LQN39" s="6"/>
      <c r="LQO39" s="6"/>
      <c r="LQP39" s="6"/>
      <c r="LQQ39" s="6"/>
      <c r="LQR39" s="6"/>
      <c r="LQS39" s="6"/>
      <c r="LQT39" s="6"/>
      <c r="LQU39" s="6"/>
      <c r="LQV39" s="6"/>
      <c r="LQW39" s="6"/>
      <c r="LQX39" s="6"/>
      <c r="LQY39" s="6"/>
      <c r="LQZ39" s="6"/>
      <c r="LRA39" s="6"/>
      <c r="LRB39" s="6"/>
      <c r="LRC39" s="6"/>
      <c r="LRD39" s="6"/>
      <c r="LRE39" s="6"/>
      <c r="LRF39" s="6"/>
      <c r="LRG39" s="6"/>
      <c r="LRH39" s="6"/>
      <c r="LRI39" s="6"/>
      <c r="LRJ39" s="6"/>
      <c r="LRK39" s="6"/>
      <c r="LRL39" s="6"/>
      <c r="LRM39" s="6"/>
      <c r="LRN39" s="6"/>
      <c r="LRO39" s="6"/>
      <c r="LRP39" s="6"/>
      <c r="LRQ39" s="6"/>
      <c r="LRR39" s="6"/>
      <c r="LRS39" s="6"/>
      <c r="LRT39" s="6"/>
      <c r="LRU39" s="6"/>
      <c r="LRV39" s="6"/>
      <c r="LRW39" s="6"/>
      <c r="LRX39" s="6"/>
      <c r="LRY39" s="6"/>
      <c r="LRZ39" s="6"/>
      <c r="LSA39" s="6"/>
      <c r="LSB39" s="6"/>
      <c r="LSC39" s="6"/>
      <c r="LSD39" s="6"/>
      <c r="LSE39" s="6"/>
      <c r="LSF39" s="6"/>
      <c r="LSG39" s="6"/>
      <c r="LSH39" s="6"/>
      <c r="LSI39" s="6"/>
      <c r="LSJ39" s="6"/>
      <c r="LSK39" s="6"/>
      <c r="LSL39" s="6"/>
      <c r="LSM39" s="6"/>
      <c r="LSN39" s="6"/>
      <c r="LSO39" s="6"/>
      <c r="LSP39" s="6"/>
      <c r="LSQ39" s="6"/>
      <c r="LSR39" s="6"/>
      <c r="LSS39" s="6"/>
      <c r="LST39" s="6"/>
      <c r="LSU39" s="6"/>
      <c r="LSV39" s="6"/>
      <c r="LSW39" s="6"/>
      <c r="LSX39" s="6"/>
      <c r="LSY39" s="6"/>
      <c r="LSZ39" s="6"/>
      <c r="LTA39" s="6"/>
      <c r="LTB39" s="6"/>
      <c r="LTC39" s="6"/>
      <c r="LTD39" s="6"/>
      <c r="LTE39" s="6"/>
      <c r="LTF39" s="6"/>
      <c r="LTG39" s="6"/>
      <c r="LTH39" s="6"/>
      <c r="LTI39" s="6"/>
      <c r="LTJ39" s="6"/>
      <c r="LTK39" s="6"/>
      <c r="LTL39" s="6"/>
      <c r="LTM39" s="6"/>
      <c r="LTN39" s="6"/>
      <c r="LTO39" s="6"/>
      <c r="LTP39" s="6"/>
      <c r="LTQ39" s="6"/>
      <c r="LTR39" s="6"/>
      <c r="LTS39" s="6"/>
      <c r="LTT39" s="6"/>
      <c r="LTU39" s="6"/>
      <c r="LTV39" s="6"/>
      <c r="LTW39" s="6"/>
      <c r="LTX39" s="6"/>
      <c r="LTY39" s="6"/>
      <c r="LTZ39" s="6"/>
      <c r="LUA39" s="6"/>
      <c r="LUB39" s="6"/>
      <c r="LUC39" s="6"/>
      <c r="LUD39" s="6"/>
      <c r="LUE39" s="6"/>
      <c r="LUF39" s="6"/>
      <c r="LUG39" s="6"/>
      <c r="LUH39" s="6"/>
      <c r="LUI39" s="6"/>
      <c r="LUJ39" s="6"/>
      <c r="LUK39" s="6"/>
      <c r="LUL39" s="6"/>
      <c r="LUM39" s="6"/>
      <c r="LUN39" s="6"/>
      <c r="LUO39" s="6"/>
      <c r="LUP39" s="6"/>
      <c r="LUQ39" s="6"/>
      <c r="LUR39" s="6"/>
      <c r="LUS39" s="6"/>
      <c r="LUT39" s="6"/>
      <c r="LUU39" s="6"/>
      <c r="LUV39" s="6"/>
      <c r="LUW39" s="6"/>
      <c r="LUX39" s="6"/>
      <c r="LUY39" s="6"/>
      <c r="LUZ39" s="6"/>
      <c r="LVA39" s="6"/>
      <c r="LVB39" s="6"/>
      <c r="LVC39" s="6"/>
      <c r="LVD39" s="6"/>
      <c r="LVE39" s="6"/>
      <c r="LVF39" s="6"/>
      <c r="LVG39" s="6"/>
      <c r="LVH39" s="6"/>
      <c r="LVI39" s="6"/>
      <c r="LVJ39" s="6"/>
      <c r="LVK39" s="6"/>
      <c r="LVL39" s="6"/>
      <c r="LVM39" s="6"/>
      <c r="LVN39" s="6"/>
      <c r="LVO39" s="6"/>
      <c r="LVP39" s="6"/>
      <c r="LVQ39" s="6"/>
      <c r="LVR39" s="6"/>
      <c r="LVS39" s="6"/>
      <c r="LVT39" s="6"/>
      <c r="LVU39" s="6"/>
      <c r="LVV39" s="6"/>
      <c r="LVW39" s="6"/>
      <c r="LVX39" s="6"/>
      <c r="LVY39" s="6"/>
      <c r="LVZ39" s="6"/>
      <c r="LWA39" s="6"/>
      <c r="LWB39" s="6"/>
      <c r="LWC39" s="6"/>
      <c r="LWD39" s="6"/>
      <c r="LWE39" s="6"/>
      <c r="LWF39" s="6"/>
      <c r="LWG39" s="6"/>
      <c r="LWH39" s="6"/>
      <c r="LWI39" s="6"/>
      <c r="LWJ39" s="6"/>
      <c r="LWK39" s="6"/>
      <c r="LWL39" s="6"/>
      <c r="LWM39" s="6"/>
      <c r="LWN39" s="6"/>
      <c r="LWO39" s="6"/>
      <c r="LWP39" s="6"/>
      <c r="LWQ39" s="6"/>
      <c r="LWR39" s="6"/>
      <c r="LWS39" s="6"/>
      <c r="LWT39" s="6"/>
      <c r="LWU39" s="6"/>
      <c r="LWV39" s="6"/>
      <c r="LWW39" s="6"/>
      <c r="LWX39" s="6"/>
      <c r="LWY39" s="6"/>
      <c r="LWZ39" s="6"/>
      <c r="LXA39" s="6"/>
      <c r="LXB39" s="6"/>
      <c r="LXC39" s="6"/>
      <c r="LXD39" s="6"/>
      <c r="LXE39" s="6"/>
      <c r="LXF39" s="6"/>
      <c r="LXG39" s="6"/>
      <c r="LXH39" s="6"/>
      <c r="LXI39" s="6"/>
      <c r="LXJ39" s="6"/>
      <c r="LXK39" s="6"/>
      <c r="LXL39" s="6"/>
      <c r="LXM39" s="6"/>
      <c r="LXN39" s="6"/>
      <c r="LXO39" s="6"/>
      <c r="LXP39" s="6"/>
      <c r="LXQ39" s="6"/>
      <c r="LXR39" s="6"/>
      <c r="LXS39" s="6"/>
      <c r="LXT39" s="6"/>
      <c r="LXU39" s="6"/>
      <c r="LXV39" s="6"/>
      <c r="LXW39" s="6"/>
      <c r="LXX39" s="6"/>
      <c r="LXY39" s="6"/>
      <c r="LXZ39" s="6"/>
      <c r="LYA39" s="6"/>
      <c r="LYB39" s="6"/>
      <c r="LYC39" s="6"/>
      <c r="LYD39" s="6"/>
      <c r="LYE39" s="6"/>
      <c r="LYF39" s="6"/>
      <c r="LYG39" s="6"/>
      <c r="LYH39" s="6"/>
      <c r="LYI39" s="6"/>
      <c r="LYJ39" s="6"/>
      <c r="LYK39" s="6"/>
      <c r="LYL39" s="6"/>
      <c r="LYM39" s="6"/>
      <c r="LYN39" s="6"/>
      <c r="LYO39" s="6"/>
      <c r="LYP39" s="6"/>
      <c r="LYQ39" s="6"/>
      <c r="LYR39" s="6"/>
      <c r="LYS39" s="6"/>
      <c r="LYT39" s="6"/>
      <c r="LYU39" s="6"/>
      <c r="LYV39" s="6"/>
      <c r="LYW39" s="6"/>
      <c r="LYX39" s="6"/>
      <c r="LYY39" s="6"/>
      <c r="LYZ39" s="6"/>
      <c r="LZA39" s="6"/>
      <c r="LZB39" s="6"/>
      <c r="LZC39" s="6"/>
      <c r="LZD39" s="6"/>
      <c r="LZE39" s="6"/>
      <c r="LZF39" s="6"/>
      <c r="LZG39" s="6"/>
      <c r="LZH39" s="6"/>
      <c r="LZI39" s="6"/>
      <c r="LZJ39" s="6"/>
      <c r="LZK39" s="6"/>
      <c r="LZL39" s="6"/>
      <c r="LZM39" s="6"/>
      <c r="LZN39" s="6"/>
      <c r="LZO39" s="6"/>
      <c r="LZP39" s="6"/>
      <c r="LZQ39" s="6"/>
      <c r="LZR39" s="6"/>
      <c r="LZS39" s="6"/>
      <c r="LZT39" s="6"/>
      <c r="LZU39" s="6"/>
      <c r="LZV39" s="6"/>
      <c r="LZW39" s="6"/>
      <c r="LZX39" s="6"/>
      <c r="LZY39" s="6"/>
      <c r="LZZ39" s="6"/>
      <c r="MAA39" s="6"/>
      <c r="MAB39" s="6"/>
      <c r="MAC39" s="6"/>
      <c r="MAD39" s="6"/>
      <c r="MAE39" s="6"/>
      <c r="MAF39" s="6"/>
      <c r="MAG39" s="6"/>
      <c r="MAH39" s="6"/>
      <c r="MAI39" s="6"/>
      <c r="MAJ39" s="6"/>
      <c r="MAK39" s="6"/>
      <c r="MAL39" s="6"/>
      <c r="MAM39" s="6"/>
      <c r="MAN39" s="6"/>
      <c r="MAO39" s="6"/>
      <c r="MAP39" s="6"/>
      <c r="MAQ39" s="6"/>
      <c r="MAR39" s="6"/>
      <c r="MAS39" s="6"/>
      <c r="MAT39" s="6"/>
      <c r="MAU39" s="6"/>
      <c r="MAV39" s="6"/>
      <c r="MAW39" s="6"/>
      <c r="MAX39" s="6"/>
      <c r="MAY39" s="6"/>
      <c r="MAZ39" s="6"/>
      <c r="MBA39" s="6"/>
      <c r="MBB39" s="6"/>
      <c r="MBC39" s="6"/>
      <c r="MBD39" s="6"/>
      <c r="MBE39" s="6"/>
      <c r="MBF39" s="6"/>
      <c r="MBG39" s="6"/>
      <c r="MBH39" s="6"/>
      <c r="MBI39" s="6"/>
      <c r="MBJ39" s="6"/>
      <c r="MBK39" s="6"/>
      <c r="MBL39" s="6"/>
      <c r="MBM39" s="6"/>
      <c r="MBN39" s="6"/>
      <c r="MBO39" s="6"/>
      <c r="MBP39" s="6"/>
      <c r="MBQ39" s="6"/>
      <c r="MBR39" s="6"/>
      <c r="MBS39" s="6"/>
      <c r="MBT39" s="6"/>
      <c r="MBU39" s="6"/>
      <c r="MBV39" s="6"/>
      <c r="MBW39" s="6"/>
      <c r="MBX39" s="6"/>
      <c r="MBY39" s="6"/>
      <c r="MBZ39" s="6"/>
      <c r="MCA39" s="6"/>
      <c r="MCB39" s="6"/>
      <c r="MCC39" s="6"/>
      <c r="MCD39" s="6"/>
      <c r="MCE39" s="6"/>
      <c r="MCF39" s="6"/>
      <c r="MCG39" s="6"/>
      <c r="MCH39" s="6"/>
      <c r="MCI39" s="6"/>
      <c r="MCJ39" s="6"/>
      <c r="MCK39" s="6"/>
      <c r="MCL39" s="6"/>
      <c r="MCM39" s="6"/>
      <c r="MCN39" s="6"/>
      <c r="MCO39" s="6"/>
      <c r="MCP39" s="6"/>
      <c r="MCQ39" s="6"/>
      <c r="MCR39" s="6"/>
      <c r="MCS39" s="6"/>
      <c r="MCT39" s="6"/>
      <c r="MCU39" s="6"/>
      <c r="MCV39" s="6"/>
      <c r="MCW39" s="6"/>
      <c r="MCX39" s="6"/>
      <c r="MCY39" s="6"/>
      <c r="MCZ39" s="6"/>
      <c r="MDA39" s="6"/>
      <c r="MDB39" s="6"/>
      <c r="MDC39" s="6"/>
      <c r="MDD39" s="6"/>
      <c r="MDE39" s="6"/>
      <c r="MDF39" s="6"/>
      <c r="MDG39" s="6"/>
      <c r="MDH39" s="6"/>
      <c r="MDI39" s="6"/>
      <c r="MDJ39" s="6"/>
      <c r="MDK39" s="6"/>
      <c r="MDL39" s="6"/>
      <c r="MDM39" s="6"/>
      <c r="MDN39" s="6"/>
      <c r="MDO39" s="6"/>
      <c r="MDP39" s="6"/>
      <c r="MDQ39" s="6"/>
      <c r="MDR39" s="6"/>
      <c r="MDS39" s="6"/>
      <c r="MDT39" s="6"/>
      <c r="MDU39" s="6"/>
      <c r="MDV39" s="6"/>
      <c r="MDW39" s="6"/>
      <c r="MDX39" s="6"/>
      <c r="MDY39" s="6"/>
      <c r="MDZ39" s="6"/>
      <c r="MEA39" s="6"/>
      <c r="MEB39" s="6"/>
      <c r="MEC39" s="6"/>
      <c r="MED39" s="6"/>
      <c r="MEE39" s="6"/>
      <c r="MEF39" s="6"/>
      <c r="MEG39" s="6"/>
      <c r="MEH39" s="6"/>
      <c r="MEI39" s="6"/>
      <c r="MEJ39" s="6"/>
      <c r="MEK39" s="6"/>
      <c r="MEL39" s="6"/>
      <c r="MEM39" s="6"/>
      <c r="MEN39" s="6"/>
      <c r="MEO39" s="6"/>
      <c r="MEP39" s="6"/>
      <c r="MEQ39" s="6"/>
      <c r="MER39" s="6"/>
      <c r="MES39" s="6"/>
      <c r="MET39" s="6"/>
      <c r="MEU39" s="6"/>
      <c r="MEV39" s="6"/>
      <c r="MEW39" s="6"/>
      <c r="MEX39" s="6"/>
      <c r="MEY39" s="6"/>
      <c r="MEZ39" s="6"/>
      <c r="MFA39" s="6"/>
      <c r="MFB39" s="6"/>
      <c r="MFC39" s="6"/>
      <c r="MFD39" s="6"/>
      <c r="MFE39" s="6"/>
      <c r="MFF39" s="6"/>
      <c r="MFG39" s="6"/>
      <c r="MFH39" s="6"/>
      <c r="MFI39" s="6"/>
      <c r="MFJ39" s="6"/>
      <c r="MFK39" s="6"/>
      <c r="MFL39" s="6"/>
      <c r="MFM39" s="6"/>
      <c r="MFN39" s="6"/>
      <c r="MFO39" s="6"/>
      <c r="MFP39" s="6"/>
      <c r="MFQ39" s="6"/>
      <c r="MFR39" s="6"/>
      <c r="MFS39" s="6"/>
      <c r="MFT39" s="6"/>
      <c r="MFU39" s="6"/>
      <c r="MFV39" s="6"/>
      <c r="MFW39" s="6"/>
      <c r="MFX39" s="6"/>
      <c r="MFY39" s="6"/>
      <c r="MFZ39" s="6"/>
      <c r="MGA39" s="6"/>
      <c r="MGB39" s="6"/>
      <c r="MGC39" s="6"/>
      <c r="MGD39" s="6"/>
      <c r="MGE39" s="6"/>
      <c r="MGF39" s="6"/>
      <c r="MGG39" s="6"/>
      <c r="MGH39" s="6"/>
      <c r="MGI39" s="6"/>
      <c r="MGJ39" s="6"/>
      <c r="MGK39" s="6"/>
      <c r="MGL39" s="6"/>
      <c r="MGM39" s="6"/>
      <c r="MGN39" s="6"/>
      <c r="MGO39" s="6"/>
      <c r="MGP39" s="6"/>
      <c r="MGQ39" s="6"/>
      <c r="MGR39" s="6"/>
      <c r="MGS39" s="6"/>
      <c r="MGT39" s="6"/>
      <c r="MGU39" s="6"/>
      <c r="MGV39" s="6"/>
      <c r="MGW39" s="6"/>
      <c r="MGX39" s="6"/>
      <c r="MGY39" s="6"/>
      <c r="MGZ39" s="6"/>
      <c r="MHA39" s="6"/>
      <c r="MHB39" s="6"/>
      <c r="MHC39" s="6"/>
      <c r="MHD39" s="6"/>
      <c r="MHE39" s="6"/>
      <c r="MHF39" s="6"/>
      <c r="MHG39" s="6"/>
      <c r="MHH39" s="6"/>
      <c r="MHI39" s="6"/>
      <c r="MHJ39" s="6"/>
      <c r="MHK39" s="6"/>
      <c r="MHL39" s="6"/>
      <c r="MHM39" s="6"/>
      <c r="MHN39" s="6"/>
      <c r="MHO39" s="6"/>
      <c r="MHP39" s="6"/>
      <c r="MHQ39" s="6"/>
      <c r="MHR39" s="6"/>
      <c r="MHS39" s="6"/>
      <c r="MHT39" s="6"/>
      <c r="MHU39" s="6"/>
      <c r="MHV39" s="6"/>
      <c r="MHW39" s="6"/>
      <c r="MHX39" s="6"/>
      <c r="MHY39" s="6"/>
      <c r="MHZ39" s="6"/>
      <c r="MIA39" s="6"/>
      <c r="MIB39" s="6"/>
      <c r="MIC39" s="6"/>
      <c r="MID39" s="6"/>
      <c r="MIE39" s="6"/>
      <c r="MIF39" s="6"/>
      <c r="MIG39" s="6"/>
      <c r="MIH39" s="6"/>
      <c r="MII39" s="6"/>
      <c r="MIJ39" s="6"/>
      <c r="MIK39" s="6"/>
      <c r="MIL39" s="6"/>
      <c r="MIM39" s="6"/>
      <c r="MIN39" s="6"/>
      <c r="MIO39" s="6"/>
      <c r="MIP39" s="6"/>
      <c r="MIQ39" s="6"/>
      <c r="MIR39" s="6"/>
      <c r="MIS39" s="6"/>
      <c r="MIT39" s="6"/>
      <c r="MIU39" s="6"/>
      <c r="MIV39" s="6"/>
      <c r="MIW39" s="6"/>
      <c r="MIX39" s="6"/>
      <c r="MIY39" s="6"/>
      <c r="MIZ39" s="6"/>
      <c r="MJA39" s="6"/>
      <c r="MJB39" s="6"/>
      <c r="MJC39" s="6"/>
      <c r="MJD39" s="6"/>
      <c r="MJE39" s="6"/>
      <c r="MJF39" s="6"/>
      <c r="MJG39" s="6"/>
      <c r="MJH39" s="6"/>
      <c r="MJI39" s="6"/>
      <c r="MJJ39" s="6"/>
      <c r="MJK39" s="6"/>
      <c r="MJL39" s="6"/>
      <c r="MJM39" s="6"/>
      <c r="MJN39" s="6"/>
      <c r="MJO39" s="6"/>
      <c r="MJP39" s="6"/>
      <c r="MJQ39" s="6"/>
      <c r="MJR39" s="6"/>
      <c r="MJS39" s="6"/>
      <c r="MJT39" s="6"/>
      <c r="MJU39" s="6"/>
      <c r="MJV39" s="6"/>
      <c r="MJW39" s="6"/>
      <c r="MJX39" s="6"/>
      <c r="MJY39" s="6"/>
      <c r="MJZ39" s="6"/>
      <c r="MKA39" s="6"/>
      <c r="MKB39" s="6"/>
      <c r="MKC39" s="6"/>
      <c r="MKD39" s="6"/>
      <c r="MKE39" s="6"/>
      <c r="MKF39" s="6"/>
      <c r="MKG39" s="6"/>
      <c r="MKH39" s="6"/>
      <c r="MKI39" s="6"/>
      <c r="MKJ39" s="6"/>
      <c r="MKK39" s="6"/>
      <c r="MKL39" s="6"/>
      <c r="MKM39" s="6"/>
      <c r="MKN39" s="6"/>
      <c r="MKO39" s="6"/>
      <c r="MKP39" s="6"/>
      <c r="MKQ39" s="6"/>
      <c r="MKR39" s="6"/>
      <c r="MKS39" s="6"/>
      <c r="MKT39" s="6"/>
      <c r="MKU39" s="6"/>
      <c r="MKV39" s="6"/>
      <c r="MKW39" s="6"/>
      <c r="MKX39" s="6"/>
      <c r="MKY39" s="6"/>
      <c r="MKZ39" s="6"/>
      <c r="MLA39" s="6"/>
      <c r="MLB39" s="6"/>
      <c r="MLC39" s="6"/>
      <c r="MLD39" s="6"/>
      <c r="MLE39" s="6"/>
      <c r="MLF39" s="6"/>
      <c r="MLG39" s="6"/>
      <c r="MLH39" s="6"/>
      <c r="MLI39" s="6"/>
      <c r="MLJ39" s="6"/>
      <c r="MLK39" s="6"/>
      <c r="MLL39" s="6"/>
      <c r="MLM39" s="6"/>
      <c r="MLN39" s="6"/>
      <c r="MLO39" s="6"/>
      <c r="MLP39" s="6"/>
      <c r="MLQ39" s="6"/>
      <c r="MLR39" s="6"/>
      <c r="MLS39" s="6"/>
      <c r="MLT39" s="6"/>
      <c r="MLU39" s="6"/>
      <c r="MLV39" s="6"/>
      <c r="MLW39" s="6"/>
      <c r="MLX39" s="6"/>
      <c r="MLY39" s="6"/>
      <c r="MLZ39" s="6"/>
      <c r="MMA39" s="6"/>
      <c r="MMB39" s="6"/>
      <c r="MMC39" s="6"/>
      <c r="MMD39" s="6"/>
      <c r="MME39" s="6"/>
      <c r="MMF39" s="6"/>
      <c r="MMG39" s="6"/>
      <c r="MMH39" s="6"/>
      <c r="MMI39" s="6"/>
      <c r="MMJ39" s="6"/>
      <c r="MMK39" s="6"/>
      <c r="MML39" s="6"/>
      <c r="MMM39" s="6"/>
      <c r="MMN39" s="6"/>
      <c r="MMO39" s="6"/>
      <c r="MMP39" s="6"/>
      <c r="MMQ39" s="6"/>
      <c r="MMR39" s="6"/>
      <c r="MMS39" s="6"/>
      <c r="MMT39" s="6"/>
      <c r="MMU39" s="6"/>
      <c r="MMV39" s="6"/>
      <c r="MMW39" s="6"/>
      <c r="MMX39" s="6"/>
      <c r="MMY39" s="6"/>
      <c r="MMZ39" s="6"/>
      <c r="MNA39" s="6"/>
      <c r="MNB39" s="6"/>
      <c r="MNC39" s="6"/>
      <c r="MND39" s="6"/>
      <c r="MNE39" s="6"/>
      <c r="MNF39" s="6"/>
      <c r="MNG39" s="6"/>
      <c r="MNH39" s="6"/>
      <c r="MNI39" s="6"/>
      <c r="MNJ39" s="6"/>
      <c r="MNK39" s="6"/>
      <c r="MNL39" s="6"/>
      <c r="MNM39" s="6"/>
      <c r="MNN39" s="6"/>
      <c r="MNO39" s="6"/>
      <c r="MNP39" s="6"/>
      <c r="MNQ39" s="6"/>
      <c r="MNR39" s="6"/>
      <c r="MNS39" s="6"/>
      <c r="MNT39" s="6"/>
      <c r="MNU39" s="6"/>
      <c r="MNV39" s="6"/>
      <c r="MNW39" s="6"/>
      <c r="MNX39" s="6"/>
      <c r="MNY39" s="6"/>
      <c r="MNZ39" s="6"/>
      <c r="MOA39" s="6"/>
      <c r="MOB39" s="6"/>
      <c r="MOC39" s="6"/>
      <c r="MOD39" s="6"/>
      <c r="MOE39" s="6"/>
      <c r="MOF39" s="6"/>
      <c r="MOG39" s="6"/>
      <c r="MOH39" s="6"/>
      <c r="MOI39" s="6"/>
      <c r="MOJ39" s="6"/>
      <c r="MOK39" s="6"/>
      <c r="MOL39" s="6"/>
      <c r="MOM39" s="6"/>
      <c r="MON39" s="6"/>
      <c r="MOO39" s="6"/>
      <c r="MOP39" s="6"/>
      <c r="MOQ39" s="6"/>
      <c r="MOR39" s="6"/>
      <c r="MOS39" s="6"/>
      <c r="MOT39" s="6"/>
      <c r="MOU39" s="6"/>
      <c r="MOV39" s="6"/>
      <c r="MOW39" s="6"/>
      <c r="MOX39" s="6"/>
      <c r="MOY39" s="6"/>
      <c r="MOZ39" s="6"/>
      <c r="MPA39" s="6"/>
      <c r="MPB39" s="6"/>
      <c r="MPC39" s="6"/>
      <c r="MPD39" s="6"/>
      <c r="MPE39" s="6"/>
      <c r="MPF39" s="6"/>
      <c r="MPG39" s="6"/>
      <c r="MPH39" s="6"/>
      <c r="MPI39" s="6"/>
      <c r="MPJ39" s="6"/>
      <c r="MPK39" s="6"/>
      <c r="MPL39" s="6"/>
      <c r="MPM39" s="6"/>
      <c r="MPN39" s="6"/>
      <c r="MPO39" s="6"/>
      <c r="MPP39" s="6"/>
      <c r="MPQ39" s="6"/>
      <c r="MPR39" s="6"/>
      <c r="MPS39" s="6"/>
      <c r="MPT39" s="6"/>
      <c r="MPU39" s="6"/>
      <c r="MPV39" s="6"/>
      <c r="MPW39" s="6"/>
      <c r="MPX39" s="6"/>
      <c r="MPY39" s="6"/>
      <c r="MPZ39" s="6"/>
      <c r="MQA39" s="6"/>
      <c r="MQB39" s="6"/>
      <c r="MQC39" s="6"/>
      <c r="MQD39" s="6"/>
      <c r="MQE39" s="6"/>
      <c r="MQF39" s="6"/>
      <c r="MQG39" s="6"/>
      <c r="MQH39" s="6"/>
      <c r="MQI39" s="6"/>
      <c r="MQJ39" s="6"/>
      <c r="MQK39" s="6"/>
      <c r="MQL39" s="6"/>
      <c r="MQM39" s="6"/>
      <c r="MQN39" s="6"/>
      <c r="MQO39" s="6"/>
      <c r="MQP39" s="6"/>
      <c r="MQQ39" s="6"/>
      <c r="MQR39" s="6"/>
      <c r="MQS39" s="6"/>
      <c r="MQT39" s="6"/>
      <c r="MQU39" s="6"/>
      <c r="MQV39" s="6"/>
      <c r="MQW39" s="6"/>
      <c r="MQX39" s="6"/>
      <c r="MQY39" s="6"/>
      <c r="MQZ39" s="6"/>
      <c r="MRA39" s="6"/>
      <c r="MRB39" s="6"/>
      <c r="MRC39" s="6"/>
      <c r="MRD39" s="6"/>
      <c r="MRE39" s="6"/>
      <c r="MRF39" s="6"/>
      <c r="MRG39" s="6"/>
      <c r="MRH39" s="6"/>
      <c r="MRI39" s="6"/>
      <c r="MRJ39" s="6"/>
      <c r="MRK39" s="6"/>
      <c r="MRL39" s="6"/>
      <c r="MRM39" s="6"/>
      <c r="MRN39" s="6"/>
      <c r="MRO39" s="6"/>
      <c r="MRP39" s="6"/>
      <c r="MRQ39" s="6"/>
      <c r="MRR39" s="6"/>
      <c r="MRS39" s="6"/>
      <c r="MRT39" s="6"/>
      <c r="MRU39" s="6"/>
      <c r="MRV39" s="6"/>
      <c r="MRW39" s="6"/>
      <c r="MRX39" s="6"/>
      <c r="MRY39" s="6"/>
      <c r="MRZ39" s="6"/>
      <c r="MSA39" s="6"/>
      <c r="MSB39" s="6"/>
      <c r="MSC39" s="6"/>
      <c r="MSD39" s="6"/>
      <c r="MSE39" s="6"/>
      <c r="MSF39" s="6"/>
      <c r="MSG39" s="6"/>
      <c r="MSH39" s="6"/>
      <c r="MSI39" s="6"/>
      <c r="MSJ39" s="6"/>
      <c r="MSK39" s="6"/>
      <c r="MSL39" s="6"/>
      <c r="MSM39" s="6"/>
      <c r="MSN39" s="6"/>
      <c r="MSO39" s="6"/>
      <c r="MSP39" s="6"/>
      <c r="MSQ39" s="6"/>
      <c r="MSR39" s="6"/>
      <c r="MSS39" s="6"/>
      <c r="MST39" s="6"/>
      <c r="MSU39" s="6"/>
      <c r="MSV39" s="6"/>
      <c r="MSW39" s="6"/>
      <c r="MSX39" s="6"/>
      <c r="MSY39" s="6"/>
      <c r="MSZ39" s="6"/>
      <c r="MTA39" s="6"/>
      <c r="MTB39" s="6"/>
      <c r="MTC39" s="6"/>
      <c r="MTD39" s="6"/>
      <c r="MTE39" s="6"/>
      <c r="MTF39" s="6"/>
      <c r="MTG39" s="6"/>
      <c r="MTH39" s="6"/>
      <c r="MTI39" s="6"/>
      <c r="MTJ39" s="6"/>
      <c r="MTK39" s="6"/>
      <c r="MTL39" s="6"/>
      <c r="MTM39" s="6"/>
      <c r="MTN39" s="6"/>
      <c r="MTO39" s="6"/>
      <c r="MTP39" s="6"/>
      <c r="MTQ39" s="6"/>
      <c r="MTR39" s="6"/>
      <c r="MTS39" s="6"/>
      <c r="MTT39" s="6"/>
      <c r="MTU39" s="6"/>
      <c r="MTV39" s="6"/>
      <c r="MTW39" s="6"/>
      <c r="MTX39" s="6"/>
      <c r="MTY39" s="6"/>
      <c r="MTZ39" s="6"/>
      <c r="MUA39" s="6"/>
      <c r="MUB39" s="6"/>
      <c r="MUC39" s="6"/>
      <c r="MUD39" s="6"/>
      <c r="MUE39" s="6"/>
      <c r="MUF39" s="6"/>
      <c r="MUG39" s="6"/>
      <c r="MUH39" s="6"/>
      <c r="MUI39" s="6"/>
      <c r="MUJ39" s="6"/>
      <c r="MUK39" s="6"/>
      <c r="MUL39" s="6"/>
      <c r="MUM39" s="6"/>
      <c r="MUN39" s="6"/>
      <c r="MUO39" s="6"/>
      <c r="MUP39" s="6"/>
      <c r="MUQ39" s="6"/>
      <c r="MUR39" s="6"/>
      <c r="MUS39" s="6"/>
      <c r="MUT39" s="6"/>
      <c r="MUU39" s="6"/>
      <c r="MUV39" s="6"/>
      <c r="MUW39" s="6"/>
      <c r="MUX39" s="6"/>
      <c r="MUY39" s="6"/>
      <c r="MUZ39" s="6"/>
      <c r="MVA39" s="6"/>
      <c r="MVB39" s="6"/>
      <c r="MVC39" s="6"/>
      <c r="MVD39" s="6"/>
      <c r="MVE39" s="6"/>
      <c r="MVF39" s="6"/>
      <c r="MVG39" s="6"/>
      <c r="MVH39" s="6"/>
      <c r="MVI39" s="6"/>
      <c r="MVJ39" s="6"/>
      <c r="MVK39" s="6"/>
      <c r="MVL39" s="6"/>
      <c r="MVM39" s="6"/>
      <c r="MVN39" s="6"/>
      <c r="MVO39" s="6"/>
      <c r="MVP39" s="6"/>
      <c r="MVQ39" s="6"/>
      <c r="MVR39" s="6"/>
      <c r="MVS39" s="6"/>
      <c r="MVT39" s="6"/>
      <c r="MVU39" s="6"/>
      <c r="MVV39" s="6"/>
      <c r="MVW39" s="6"/>
      <c r="MVX39" s="6"/>
      <c r="MVY39" s="6"/>
      <c r="MVZ39" s="6"/>
      <c r="MWA39" s="6"/>
      <c r="MWB39" s="6"/>
      <c r="MWC39" s="6"/>
      <c r="MWD39" s="6"/>
      <c r="MWE39" s="6"/>
      <c r="MWF39" s="6"/>
      <c r="MWG39" s="6"/>
      <c r="MWH39" s="6"/>
      <c r="MWI39" s="6"/>
      <c r="MWJ39" s="6"/>
      <c r="MWK39" s="6"/>
      <c r="MWL39" s="6"/>
      <c r="MWM39" s="6"/>
      <c r="MWN39" s="6"/>
      <c r="MWO39" s="6"/>
      <c r="MWP39" s="6"/>
      <c r="MWQ39" s="6"/>
      <c r="MWR39" s="6"/>
      <c r="MWS39" s="6"/>
      <c r="MWT39" s="6"/>
      <c r="MWU39" s="6"/>
      <c r="MWV39" s="6"/>
      <c r="MWW39" s="6"/>
      <c r="MWX39" s="6"/>
      <c r="MWY39" s="6"/>
      <c r="MWZ39" s="6"/>
      <c r="MXA39" s="6"/>
      <c r="MXB39" s="6"/>
      <c r="MXC39" s="6"/>
      <c r="MXD39" s="6"/>
      <c r="MXE39" s="6"/>
      <c r="MXF39" s="6"/>
      <c r="MXG39" s="6"/>
      <c r="MXH39" s="6"/>
      <c r="MXI39" s="6"/>
      <c r="MXJ39" s="6"/>
      <c r="MXK39" s="6"/>
      <c r="MXL39" s="6"/>
      <c r="MXM39" s="6"/>
      <c r="MXN39" s="6"/>
      <c r="MXO39" s="6"/>
      <c r="MXP39" s="6"/>
      <c r="MXQ39" s="6"/>
      <c r="MXR39" s="6"/>
      <c r="MXS39" s="6"/>
      <c r="MXT39" s="6"/>
      <c r="MXU39" s="6"/>
      <c r="MXV39" s="6"/>
      <c r="MXW39" s="6"/>
      <c r="MXX39" s="6"/>
      <c r="MXY39" s="6"/>
      <c r="MXZ39" s="6"/>
      <c r="MYA39" s="6"/>
      <c r="MYB39" s="6"/>
      <c r="MYC39" s="6"/>
      <c r="MYD39" s="6"/>
      <c r="MYE39" s="6"/>
      <c r="MYF39" s="6"/>
      <c r="MYG39" s="6"/>
      <c r="MYH39" s="6"/>
      <c r="MYI39" s="6"/>
      <c r="MYJ39" s="6"/>
      <c r="MYK39" s="6"/>
      <c r="MYL39" s="6"/>
      <c r="MYM39" s="6"/>
      <c r="MYN39" s="6"/>
      <c r="MYO39" s="6"/>
      <c r="MYP39" s="6"/>
      <c r="MYQ39" s="6"/>
      <c r="MYR39" s="6"/>
      <c r="MYS39" s="6"/>
      <c r="MYT39" s="6"/>
      <c r="MYU39" s="6"/>
      <c r="MYV39" s="6"/>
      <c r="MYW39" s="6"/>
      <c r="MYX39" s="6"/>
      <c r="MYY39" s="6"/>
      <c r="MYZ39" s="6"/>
      <c r="MZA39" s="6"/>
      <c r="MZB39" s="6"/>
      <c r="MZC39" s="6"/>
      <c r="MZD39" s="6"/>
      <c r="MZE39" s="6"/>
      <c r="MZF39" s="6"/>
      <c r="MZG39" s="6"/>
      <c r="MZH39" s="6"/>
      <c r="MZI39" s="6"/>
      <c r="MZJ39" s="6"/>
      <c r="MZK39" s="6"/>
      <c r="MZL39" s="6"/>
      <c r="MZM39" s="6"/>
      <c r="MZN39" s="6"/>
      <c r="MZO39" s="6"/>
      <c r="MZP39" s="6"/>
      <c r="MZQ39" s="6"/>
      <c r="MZR39" s="6"/>
      <c r="MZS39" s="6"/>
      <c r="MZT39" s="6"/>
      <c r="MZU39" s="6"/>
      <c r="MZV39" s="6"/>
      <c r="MZW39" s="6"/>
      <c r="MZX39" s="6"/>
      <c r="MZY39" s="6"/>
      <c r="MZZ39" s="6"/>
      <c r="NAA39" s="6"/>
      <c r="NAB39" s="6"/>
      <c r="NAC39" s="6"/>
      <c r="NAD39" s="6"/>
      <c r="NAE39" s="6"/>
      <c r="NAF39" s="6"/>
      <c r="NAG39" s="6"/>
      <c r="NAH39" s="6"/>
      <c r="NAI39" s="6"/>
      <c r="NAJ39" s="6"/>
      <c r="NAK39" s="6"/>
      <c r="NAL39" s="6"/>
      <c r="NAM39" s="6"/>
      <c r="NAN39" s="6"/>
      <c r="NAO39" s="6"/>
      <c r="NAP39" s="6"/>
      <c r="NAQ39" s="6"/>
      <c r="NAR39" s="6"/>
      <c r="NAS39" s="6"/>
      <c r="NAT39" s="6"/>
      <c r="NAU39" s="6"/>
      <c r="NAV39" s="6"/>
      <c r="NAW39" s="6"/>
      <c r="NAX39" s="6"/>
      <c r="NAY39" s="6"/>
      <c r="NAZ39" s="6"/>
      <c r="NBA39" s="6"/>
      <c r="NBB39" s="6"/>
      <c r="NBC39" s="6"/>
      <c r="NBD39" s="6"/>
      <c r="NBE39" s="6"/>
      <c r="NBF39" s="6"/>
      <c r="NBG39" s="6"/>
      <c r="NBH39" s="6"/>
      <c r="NBI39" s="6"/>
      <c r="NBJ39" s="6"/>
      <c r="NBK39" s="6"/>
      <c r="NBL39" s="6"/>
      <c r="NBM39" s="6"/>
      <c r="NBN39" s="6"/>
      <c r="NBO39" s="6"/>
      <c r="NBP39" s="6"/>
      <c r="NBQ39" s="6"/>
      <c r="NBR39" s="6"/>
      <c r="NBS39" s="6"/>
      <c r="NBT39" s="6"/>
      <c r="NBU39" s="6"/>
      <c r="NBV39" s="6"/>
      <c r="NBW39" s="6"/>
      <c r="NBX39" s="6"/>
      <c r="NBY39" s="6"/>
      <c r="NBZ39" s="6"/>
      <c r="NCA39" s="6"/>
      <c r="NCB39" s="6"/>
      <c r="NCC39" s="6"/>
      <c r="NCD39" s="6"/>
      <c r="NCE39" s="6"/>
      <c r="NCF39" s="6"/>
      <c r="NCG39" s="6"/>
      <c r="NCH39" s="6"/>
      <c r="NCI39" s="6"/>
      <c r="NCJ39" s="6"/>
      <c r="NCK39" s="6"/>
      <c r="NCL39" s="6"/>
      <c r="NCM39" s="6"/>
      <c r="NCN39" s="6"/>
      <c r="NCO39" s="6"/>
      <c r="NCP39" s="6"/>
      <c r="NCQ39" s="6"/>
      <c r="NCR39" s="6"/>
      <c r="NCS39" s="6"/>
      <c r="NCT39" s="6"/>
      <c r="NCU39" s="6"/>
      <c r="NCV39" s="6"/>
      <c r="NCW39" s="6"/>
      <c r="NCX39" s="6"/>
      <c r="NCY39" s="6"/>
      <c r="NCZ39" s="6"/>
      <c r="NDA39" s="6"/>
      <c r="NDB39" s="6"/>
      <c r="NDC39" s="6"/>
      <c r="NDD39" s="6"/>
      <c r="NDE39" s="6"/>
      <c r="NDF39" s="6"/>
      <c r="NDG39" s="6"/>
      <c r="NDH39" s="6"/>
      <c r="NDI39" s="6"/>
      <c r="NDJ39" s="6"/>
      <c r="NDK39" s="6"/>
      <c r="NDL39" s="6"/>
      <c r="NDM39" s="6"/>
      <c r="NDN39" s="6"/>
      <c r="NDO39" s="6"/>
      <c r="NDP39" s="6"/>
      <c r="NDQ39" s="6"/>
      <c r="NDR39" s="6"/>
      <c r="NDS39" s="6"/>
      <c r="NDT39" s="6"/>
      <c r="NDU39" s="6"/>
      <c r="NDV39" s="6"/>
      <c r="NDW39" s="6"/>
      <c r="NDX39" s="6"/>
      <c r="NDY39" s="6"/>
      <c r="NDZ39" s="6"/>
      <c r="NEA39" s="6"/>
      <c r="NEB39" s="6"/>
      <c r="NEC39" s="6"/>
      <c r="NED39" s="6"/>
      <c r="NEE39" s="6"/>
      <c r="NEF39" s="6"/>
      <c r="NEG39" s="6"/>
      <c r="NEH39" s="6"/>
      <c r="NEI39" s="6"/>
      <c r="NEJ39" s="6"/>
      <c r="NEK39" s="6"/>
      <c r="NEL39" s="6"/>
      <c r="NEM39" s="6"/>
      <c r="NEN39" s="6"/>
      <c r="NEO39" s="6"/>
      <c r="NEP39" s="6"/>
      <c r="NEQ39" s="6"/>
      <c r="NER39" s="6"/>
      <c r="NES39" s="6"/>
      <c r="NET39" s="6"/>
      <c r="NEU39" s="6"/>
      <c r="NEV39" s="6"/>
      <c r="NEW39" s="6"/>
      <c r="NEX39" s="6"/>
      <c r="NEY39" s="6"/>
      <c r="NEZ39" s="6"/>
      <c r="NFA39" s="6"/>
      <c r="NFB39" s="6"/>
      <c r="NFC39" s="6"/>
      <c r="NFD39" s="6"/>
      <c r="NFE39" s="6"/>
      <c r="NFF39" s="6"/>
      <c r="NFG39" s="6"/>
      <c r="NFH39" s="6"/>
      <c r="NFI39" s="6"/>
      <c r="NFJ39" s="6"/>
      <c r="NFK39" s="6"/>
      <c r="NFL39" s="6"/>
      <c r="NFM39" s="6"/>
      <c r="NFN39" s="6"/>
      <c r="NFO39" s="6"/>
      <c r="NFP39" s="6"/>
      <c r="NFQ39" s="6"/>
      <c r="NFR39" s="6"/>
      <c r="NFS39" s="6"/>
      <c r="NFT39" s="6"/>
      <c r="NFU39" s="6"/>
      <c r="NFV39" s="6"/>
      <c r="NFW39" s="6"/>
      <c r="NFX39" s="6"/>
      <c r="NFY39" s="6"/>
      <c r="NFZ39" s="6"/>
      <c r="NGA39" s="6"/>
      <c r="NGB39" s="6"/>
      <c r="NGC39" s="6"/>
      <c r="NGD39" s="6"/>
      <c r="NGE39" s="6"/>
      <c r="NGF39" s="6"/>
      <c r="NGG39" s="6"/>
      <c r="NGH39" s="6"/>
      <c r="NGI39" s="6"/>
      <c r="NGJ39" s="6"/>
      <c r="NGK39" s="6"/>
      <c r="NGL39" s="6"/>
      <c r="NGM39" s="6"/>
      <c r="NGN39" s="6"/>
      <c r="NGO39" s="6"/>
      <c r="NGP39" s="6"/>
      <c r="NGQ39" s="6"/>
      <c r="NGR39" s="6"/>
      <c r="NGS39" s="6"/>
      <c r="NGT39" s="6"/>
      <c r="NGU39" s="6"/>
      <c r="NGV39" s="6"/>
      <c r="NGW39" s="6"/>
      <c r="NGX39" s="6"/>
      <c r="NGY39" s="6"/>
      <c r="NGZ39" s="6"/>
      <c r="NHA39" s="6"/>
      <c r="NHB39" s="6"/>
      <c r="NHC39" s="6"/>
      <c r="NHD39" s="6"/>
      <c r="NHE39" s="6"/>
      <c r="NHF39" s="6"/>
      <c r="NHG39" s="6"/>
      <c r="NHH39" s="6"/>
      <c r="NHI39" s="6"/>
      <c r="NHJ39" s="6"/>
      <c r="NHK39" s="6"/>
      <c r="NHL39" s="6"/>
      <c r="NHM39" s="6"/>
      <c r="NHN39" s="6"/>
      <c r="NHO39" s="6"/>
      <c r="NHP39" s="6"/>
      <c r="NHQ39" s="6"/>
      <c r="NHR39" s="6"/>
      <c r="NHS39" s="6"/>
      <c r="NHT39" s="6"/>
      <c r="NHU39" s="6"/>
      <c r="NHV39" s="6"/>
      <c r="NHW39" s="6"/>
      <c r="NHX39" s="6"/>
      <c r="NHY39" s="6"/>
      <c r="NHZ39" s="6"/>
      <c r="NIA39" s="6"/>
      <c r="NIB39" s="6"/>
      <c r="NIC39" s="6"/>
      <c r="NID39" s="6"/>
      <c r="NIE39" s="6"/>
      <c r="NIF39" s="6"/>
      <c r="NIG39" s="6"/>
      <c r="NIH39" s="6"/>
      <c r="NII39" s="6"/>
      <c r="NIJ39" s="6"/>
      <c r="NIK39" s="6"/>
      <c r="NIL39" s="6"/>
      <c r="NIM39" s="6"/>
      <c r="NIN39" s="6"/>
      <c r="NIO39" s="6"/>
      <c r="NIP39" s="6"/>
      <c r="NIQ39" s="6"/>
      <c r="NIR39" s="6"/>
      <c r="NIS39" s="6"/>
      <c r="NIT39" s="6"/>
      <c r="NIU39" s="6"/>
      <c r="NIV39" s="6"/>
      <c r="NIW39" s="6"/>
      <c r="NIX39" s="6"/>
      <c r="NIY39" s="6"/>
      <c r="NIZ39" s="6"/>
      <c r="NJA39" s="6"/>
      <c r="NJB39" s="6"/>
      <c r="NJC39" s="6"/>
      <c r="NJD39" s="6"/>
      <c r="NJE39" s="6"/>
      <c r="NJF39" s="6"/>
      <c r="NJG39" s="6"/>
      <c r="NJH39" s="6"/>
      <c r="NJI39" s="6"/>
      <c r="NJJ39" s="6"/>
      <c r="NJK39" s="6"/>
      <c r="NJL39" s="6"/>
      <c r="NJM39" s="6"/>
      <c r="NJN39" s="6"/>
      <c r="NJO39" s="6"/>
      <c r="NJP39" s="6"/>
      <c r="NJQ39" s="6"/>
      <c r="NJR39" s="6"/>
      <c r="NJS39" s="6"/>
      <c r="NJT39" s="6"/>
      <c r="NJU39" s="6"/>
      <c r="NJV39" s="6"/>
      <c r="NJW39" s="6"/>
      <c r="NJX39" s="6"/>
      <c r="NJY39" s="6"/>
      <c r="NJZ39" s="6"/>
      <c r="NKA39" s="6"/>
      <c r="NKB39" s="6"/>
      <c r="NKC39" s="6"/>
      <c r="NKD39" s="6"/>
      <c r="NKE39" s="6"/>
      <c r="NKF39" s="6"/>
      <c r="NKG39" s="6"/>
      <c r="NKH39" s="6"/>
      <c r="NKI39" s="6"/>
      <c r="NKJ39" s="6"/>
      <c r="NKK39" s="6"/>
      <c r="NKL39" s="6"/>
      <c r="NKM39" s="6"/>
      <c r="NKN39" s="6"/>
      <c r="NKO39" s="6"/>
      <c r="NKP39" s="6"/>
      <c r="NKQ39" s="6"/>
      <c r="NKR39" s="6"/>
      <c r="NKS39" s="6"/>
      <c r="NKT39" s="6"/>
      <c r="NKU39" s="6"/>
      <c r="NKV39" s="6"/>
      <c r="NKW39" s="6"/>
      <c r="NKX39" s="6"/>
      <c r="NKY39" s="6"/>
      <c r="NKZ39" s="6"/>
      <c r="NLA39" s="6"/>
      <c r="NLB39" s="6"/>
      <c r="NLC39" s="6"/>
      <c r="NLD39" s="6"/>
      <c r="NLE39" s="6"/>
      <c r="NLF39" s="6"/>
      <c r="NLG39" s="6"/>
      <c r="NLH39" s="6"/>
      <c r="NLI39" s="6"/>
      <c r="NLJ39" s="6"/>
      <c r="NLK39" s="6"/>
      <c r="NLL39" s="6"/>
      <c r="NLM39" s="6"/>
      <c r="NLN39" s="6"/>
      <c r="NLO39" s="6"/>
      <c r="NLP39" s="6"/>
      <c r="NLQ39" s="6"/>
      <c r="NLR39" s="6"/>
      <c r="NLS39" s="6"/>
      <c r="NLT39" s="6"/>
      <c r="NLU39" s="6"/>
      <c r="NLV39" s="6"/>
      <c r="NLW39" s="6"/>
      <c r="NLX39" s="6"/>
      <c r="NLY39" s="6"/>
      <c r="NLZ39" s="6"/>
      <c r="NMA39" s="6"/>
      <c r="NMB39" s="6"/>
      <c r="NMC39" s="6"/>
      <c r="NMD39" s="6"/>
      <c r="NME39" s="6"/>
      <c r="NMF39" s="6"/>
      <c r="NMG39" s="6"/>
      <c r="NMH39" s="6"/>
      <c r="NMI39" s="6"/>
      <c r="NMJ39" s="6"/>
      <c r="NMK39" s="6"/>
      <c r="NML39" s="6"/>
      <c r="NMM39" s="6"/>
      <c r="NMN39" s="6"/>
      <c r="NMO39" s="6"/>
      <c r="NMP39" s="6"/>
      <c r="NMQ39" s="6"/>
      <c r="NMR39" s="6"/>
      <c r="NMS39" s="6"/>
      <c r="NMT39" s="6"/>
      <c r="NMU39" s="6"/>
      <c r="NMV39" s="6"/>
      <c r="NMW39" s="6"/>
      <c r="NMX39" s="6"/>
      <c r="NMY39" s="6"/>
      <c r="NMZ39" s="6"/>
      <c r="NNA39" s="6"/>
      <c r="NNB39" s="6"/>
      <c r="NNC39" s="6"/>
      <c r="NND39" s="6"/>
      <c r="NNE39" s="6"/>
      <c r="NNF39" s="6"/>
      <c r="NNG39" s="6"/>
      <c r="NNH39" s="6"/>
      <c r="NNI39" s="6"/>
      <c r="NNJ39" s="6"/>
      <c r="NNK39" s="6"/>
      <c r="NNL39" s="6"/>
      <c r="NNM39" s="6"/>
      <c r="NNN39" s="6"/>
      <c r="NNO39" s="6"/>
      <c r="NNP39" s="6"/>
      <c r="NNQ39" s="6"/>
      <c r="NNR39" s="6"/>
      <c r="NNS39" s="6"/>
      <c r="NNT39" s="6"/>
      <c r="NNU39" s="6"/>
      <c r="NNV39" s="6"/>
      <c r="NNW39" s="6"/>
      <c r="NNX39" s="6"/>
      <c r="NNY39" s="6"/>
      <c r="NNZ39" s="6"/>
      <c r="NOA39" s="6"/>
      <c r="NOB39" s="6"/>
      <c r="NOC39" s="6"/>
      <c r="NOD39" s="6"/>
      <c r="NOE39" s="6"/>
      <c r="NOF39" s="6"/>
      <c r="NOG39" s="6"/>
      <c r="NOH39" s="6"/>
      <c r="NOI39" s="6"/>
      <c r="NOJ39" s="6"/>
      <c r="NOK39" s="6"/>
      <c r="NOL39" s="6"/>
      <c r="NOM39" s="6"/>
      <c r="NON39" s="6"/>
      <c r="NOO39" s="6"/>
      <c r="NOP39" s="6"/>
      <c r="NOQ39" s="6"/>
      <c r="NOR39" s="6"/>
      <c r="NOS39" s="6"/>
      <c r="NOT39" s="6"/>
      <c r="NOU39" s="6"/>
      <c r="NOV39" s="6"/>
      <c r="NOW39" s="6"/>
      <c r="NOX39" s="6"/>
      <c r="NOY39" s="6"/>
      <c r="NOZ39" s="6"/>
      <c r="NPA39" s="6"/>
      <c r="NPB39" s="6"/>
      <c r="NPC39" s="6"/>
      <c r="NPD39" s="6"/>
      <c r="NPE39" s="6"/>
      <c r="NPF39" s="6"/>
      <c r="NPG39" s="6"/>
      <c r="NPH39" s="6"/>
      <c r="NPI39" s="6"/>
      <c r="NPJ39" s="6"/>
      <c r="NPK39" s="6"/>
      <c r="NPL39" s="6"/>
      <c r="NPM39" s="6"/>
      <c r="NPN39" s="6"/>
      <c r="NPO39" s="6"/>
      <c r="NPP39" s="6"/>
      <c r="NPQ39" s="6"/>
      <c r="NPR39" s="6"/>
      <c r="NPS39" s="6"/>
      <c r="NPT39" s="6"/>
      <c r="NPU39" s="6"/>
      <c r="NPV39" s="6"/>
      <c r="NPW39" s="6"/>
      <c r="NPX39" s="6"/>
      <c r="NPY39" s="6"/>
      <c r="NPZ39" s="6"/>
      <c r="NQA39" s="6"/>
      <c r="NQB39" s="6"/>
      <c r="NQC39" s="6"/>
      <c r="NQD39" s="6"/>
      <c r="NQE39" s="6"/>
      <c r="NQF39" s="6"/>
      <c r="NQG39" s="6"/>
      <c r="NQH39" s="6"/>
      <c r="NQI39" s="6"/>
      <c r="NQJ39" s="6"/>
      <c r="NQK39" s="6"/>
      <c r="NQL39" s="6"/>
      <c r="NQM39" s="6"/>
      <c r="NQN39" s="6"/>
      <c r="NQO39" s="6"/>
      <c r="NQP39" s="6"/>
      <c r="NQQ39" s="6"/>
      <c r="NQR39" s="6"/>
      <c r="NQS39" s="6"/>
      <c r="NQT39" s="6"/>
      <c r="NQU39" s="6"/>
      <c r="NQV39" s="6"/>
      <c r="NQW39" s="6"/>
      <c r="NQX39" s="6"/>
      <c r="NQY39" s="6"/>
      <c r="NQZ39" s="6"/>
      <c r="NRA39" s="6"/>
      <c r="NRB39" s="6"/>
      <c r="NRC39" s="6"/>
      <c r="NRD39" s="6"/>
      <c r="NRE39" s="6"/>
      <c r="NRF39" s="6"/>
      <c r="NRG39" s="6"/>
      <c r="NRH39" s="6"/>
      <c r="NRI39" s="6"/>
      <c r="NRJ39" s="6"/>
      <c r="NRK39" s="6"/>
      <c r="NRL39" s="6"/>
      <c r="NRM39" s="6"/>
      <c r="NRN39" s="6"/>
      <c r="NRO39" s="6"/>
      <c r="NRP39" s="6"/>
      <c r="NRQ39" s="6"/>
      <c r="NRR39" s="6"/>
      <c r="NRS39" s="6"/>
      <c r="NRT39" s="6"/>
      <c r="NRU39" s="6"/>
      <c r="NRV39" s="6"/>
      <c r="NRW39" s="6"/>
      <c r="NRX39" s="6"/>
      <c r="NRY39" s="6"/>
      <c r="NRZ39" s="6"/>
      <c r="NSA39" s="6"/>
      <c r="NSB39" s="6"/>
      <c r="NSC39" s="6"/>
      <c r="NSD39" s="6"/>
      <c r="NSE39" s="6"/>
      <c r="NSF39" s="6"/>
      <c r="NSG39" s="6"/>
      <c r="NSH39" s="6"/>
      <c r="NSI39" s="6"/>
      <c r="NSJ39" s="6"/>
      <c r="NSK39" s="6"/>
      <c r="NSL39" s="6"/>
      <c r="NSM39" s="6"/>
      <c r="NSN39" s="6"/>
      <c r="NSO39" s="6"/>
      <c r="NSP39" s="6"/>
      <c r="NSQ39" s="6"/>
      <c r="NSR39" s="6"/>
      <c r="NSS39" s="6"/>
      <c r="NST39" s="6"/>
      <c r="NSU39" s="6"/>
      <c r="NSV39" s="6"/>
      <c r="NSW39" s="6"/>
      <c r="NSX39" s="6"/>
      <c r="NSY39" s="6"/>
      <c r="NSZ39" s="6"/>
      <c r="NTA39" s="6"/>
      <c r="NTB39" s="6"/>
      <c r="NTC39" s="6"/>
      <c r="NTD39" s="6"/>
      <c r="NTE39" s="6"/>
      <c r="NTF39" s="6"/>
      <c r="NTG39" s="6"/>
      <c r="NTH39" s="6"/>
      <c r="NTI39" s="6"/>
      <c r="NTJ39" s="6"/>
      <c r="NTK39" s="6"/>
      <c r="NTL39" s="6"/>
      <c r="NTM39" s="6"/>
      <c r="NTN39" s="6"/>
      <c r="NTO39" s="6"/>
      <c r="NTP39" s="6"/>
      <c r="NTQ39" s="6"/>
      <c r="NTR39" s="6"/>
      <c r="NTS39" s="6"/>
      <c r="NTT39" s="6"/>
      <c r="NTU39" s="6"/>
      <c r="NTV39" s="6"/>
      <c r="NTW39" s="6"/>
      <c r="NTX39" s="6"/>
      <c r="NTY39" s="6"/>
      <c r="NTZ39" s="6"/>
      <c r="NUA39" s="6"/>
      <c r="NUB39" s="6"/>
      <c r="NUC39" s="6"/>
      <c r="NUD39" s="6"/>
      <c r="NUE39" s="6"/>
      <c r="NUF39" s="6"/>
      <c r="NUG39" s="6"/>
      <c r="NUH39" s="6"/>
      <c r="NUI39" s="6"/>
      <c r="NUJ39" s="6"/>
      <c r="NUK39" s="6"/>
      <c r="NUL39" s="6"/>
      <c r="NUM39" s="6"/>
      <c r="NUN39" s="6"/>
      <c r="NUO39" s="6"/>
      <c r="NUP39" s="6"/>
      <c r="NUQ39" s="6"/>
      <c r="NUR39" s="6"/>
      <c r="NUS39" s="6"/>
      <c r="NUT39" s="6"/>
      <c r="NUU39" s="6"/>
      <c r="NUV39" s="6"/>
      <c r="NUW39" s="6"/>
      <c r="NUX39" s="6"/>
      <c r="NUY39" s="6"/>
      <c r="NUZ39" s="6"/>
      <c r="NVA39" s="6"/>
      <c r="NVB39" s="6"/>
      <c r="NVC39" s="6"/>
      <c r="NVD39" s="6"/>
      <c r="NVE39" s="6"/>
      <c r="NVF39" s="6"/>
      <c r="NVG39" s="6"/>
      <c r="NVH39" s="6"/>
      <c r="NVI39" s="6"/>
      <c r="NVJ39" s="6"/>
      <c r="NVK39" s="6"/>
      <c r="NVL39" s="6"/>
      <c r="NVM39" s="6"/>
      <c r="NVN39" s="6"/>
      <c r="NVO39" s="6"/>
      <c r="NVP39" s="6"/>
      <c r="NVQ39" s="6"/>
      <c r="NVR39" s="6"/>
      <c r="NVS39" s="6"/>
      <c r="NVT39" s="6"/>
      <c r="NVU39" s="6"/>
      <c r="NVV39" s="6"/>
      <c r="NVW39" s="6"/>
      <c r="NVX39" s="6"/>
      <c r="NVY39" s="6"/>
      <c r="NVZ39" s="6"/>
      <c r="NWA39" s="6"/>
      <c r="NWB39" s="6"/>
      <c r="NWC39" s="6"/>
      <c r="NWD39" s="6"/>
      <c r="NWE39" s="6"/>
      <c r="NWF39" s="6"/>
      <c r="NWG39" s="6"/>
      <c r="NWH39" s="6"/>
      <c r="NWI39" s="6"/>
      <c r="NWJ39" s="6"/>
      <c r="NWK39" s="6"/>
      <c r="NWL39" s="6"/>
      <c r="NWM39" s="6"/>
      <c r="NWN39" s="6"/>
      <c r="NWO39" s="6"/>
      <c r="NWP39" s="6"/>
      <c r="NWQ39" s="6"/>
      <c r="NWR39" s="6"/>
      <c r="NWS39" s="6"/>
      <c r="NWT39" s="6"/>
      <c r="NWU39" s="6"/>
      <c r="NWV39" s="6"/>
      <c r="NWW39" s="6"/>
      <c r="NWX39" s="6"/>
      <c r="NWY39" s="6"/>
      <c r="NWZ39" s="6"/>
      <c r="NXA39" s="6"/>
      <c r="NXB39" s="6"/>
      <c r="NXC39" s="6"/>
      <c r="NXD39" s="6"/>
      <c r="NXE39" s="6"/>
      <c r="NXF39" s="6"/>
      <c r="NXG39" s="6"/>
      <c r="NXH39" s="6"/>
      <c r="NXI39" s="6"/>
      <c r="NXJ39" s="6"/>
      <c r="NXK39" s="6"/>
      <c r="NXL39" s="6"/>
      <c r="NXM39" s="6"/>
      <c r="NXN39" s="6"/>
      <c r="NXO39" s="6"/>
      <c r="NXP39" s="6"/>
      <c r="NXQ39" s="6"/>
      <c r="NXR39" s="6"/>
      <c r="NXS39" s="6"/>
      <c r="NXT39" s="6"/>
      <c r="NXU39" s="6"/>
      <c r="NXV39" s="6"/>
      <c r="NXW39" s="6"/>
      <c r="NXX39" s="6"/>
      <c r="NXY39" s="6"/>
      <c r="NXZ39" s="6"/>
      <c r="NYA39" s="6"/>
      <c r="NYB39" s="6"/>
      <c r="NYC39" s="6"/>
      <c r="NYD39" s="6"/>
      <c r="NYE39" s="6"/>
      <c r="NYF39" s="6"/>
      <c r="NYG39" s="6"/>
      <c r="NYH39" s="6"/>
      <c r="NYI39" s="6"/>
      <c r="NYJ39" s="6"/>
      <c r="NYK39" s="6"/>
      <c r="NYL39" s="6"/>
      <c r="NYM39" s="6"/>
      <c r="NYN39" s="6"/>
      <c r="NYO39" s="6"/>
      <c r="NYP39" s="6"/>
      <c r="NYQ39" s="6"/>
      <c r="NYR39" s="6"/>
      <c r="NYS39" s="6"/>
      <c r="NYT39" s="6"/>
      <c r="NYU39" s="6"/>
      <c r="NYV39" s="6"/>
      <c r="NYW39" s="6"/>
      <c r="NYX39" s="6"/>
      <c r="NYY39" s="6"/>
      <c r="NYZ39" s="6"/>
      <c r="NZA39" s="6"/>
      <c r="NZB39" s="6"/>
      <c r="NZC39" s="6"/>
      <c r="NZD39" s="6"/>
      <c r="NZE39" s="6"/>
      <c r="NZF39" s="6"/>
      <c r="NZG39" s="6"/>
      <c r="NZH39" s="6"/>
      <c r="NZI39" s="6"/>
      <c r="NZJ39" s="6"/>
      <c r="NZK39" s="6"/>
      <c r="NZL39" s="6"/>
      <c r="NZM39" s="6"/>
      <c r="NZN39" s="6"/>
      <c r="NZO39" s="6"/>
      <c r="NZP39" s="6"/>
      <c r="NZQ39" s="6"/>
      <c r="NZR39" s="6"/>
      <c r="NZS39" s="6"/>
      <c r="NZT39" s="6"/>
      <c r="NZU39" s="6"/>
      <c r="NZV39" s="6"/>
      <c r="NZW39" s="6"/>
      <c r="NZX39" s="6"/>
      <c r="NZY39" s="6"/>
      <c r="NZZ39" s="6"/>
      <c r="OAA39" s="6"/>
      <c r="OAB39" s="6"/>
      <c r="OAC39" s="6"/>
      <c r="OAD39" s="6"/>
      <c r="OAE39" s="6"/>
      <c r="OAF39" s="6"/>
      <c r="OAG39" s="6"/>
      <c r="OAH39" s="6"/>
      <c r="OAI39" s="6"/>
      <c r="OAJ39" s="6"/>
      <c r="OAK39" s="6"/>
      <c r="OAL39" s="6"/>
      <c r="OAM39" s="6"/>
      <c r="OAN39" s="6"/>
      <c r="OAO39" s="6"/>
      <c r="OAP39" s="6"/>
      <c r="OAQ39" s="6"/>
      <c r="OAR39" s="6"/>
      <c r="OAS39" s="6"/>
      <c r="OAT39" s="6"/>
      <c r="OAU39" s="6"/>
      <c r="OAV39" s="6"/>
      <c r="OAW39" s="6"/>
      <c r="OAX39" s="6"/>
      <c r="OAY39" s="6"/>
      <c r="OAZ39" s="6"/>
      <c r="OBA39" s="6"/>
      <c r="OBB39" s="6"/>
      <c r="OBC39" s="6"/>
      <c r="OBD39" s="6"/>
      <c r="OBE39" s="6"/>
      <c r="OBF39" s="6"/>
      <c r="OBG39" s="6"/>
      <c r="OBH39" s="6"/>
      <c r="OBI39" s="6"/>
      <c r="OBJ39" s="6"/>
      <c r="OBK39" s="6"/>
      <c r="OBL39" s="6"/>
      <c r="OBM39" s="6"/>
      <c r="OBN39" s="6"/>
      <c r="OBO39" s="6"/>
      <c r="OBP39" s="6"/>
      <c r="OBQ39" s="6"/>
      <c r="OBR39" s="6"/>
      <c r="OBS39" s="6"/>
      <c r="OBT39" s="6"/>
      <c r="OBU39" s="6"/>
      <c r="OBV39" s="6"/>
      <c r="OBW39" s="6"/>
      <c r="OBX39" s="6"/>
      <c r="OBY39" s="6"/>
      <c r="OBZ39" s="6"/>
      <c r="OCA39" s="6"/>
      <c r="OCB39" s="6"/>
      <c r="OCC39" s="6"/>
      <c r="OCD39" s="6"/>
      <c r="OCE39" s="6"/>
      <c r="OCF39" s="6"/>
      <c r="OCG39" s="6"/>
      <c r="OCH39" s="6"/>
      <c r="OCI39" s="6"/>
      <c r="OCJ39" s="6"/>
      <c r="OCK39" s="6"/>
      <c r="OCL39" s="6"/>
      <c r="OCM39" s="6"/>
      <c r="OCN39" s="6"/>
      <c r="OCO39" s="6"/>
      <c r="OCP39" s="6"/>
      <c r="OCQ39" s="6"/>
      <c r="OCR39" s="6"/>
      <c r="OCS39" s="6"/>
      <c r="OCT39" s="6"/>
      <c r="OCU39" s="6"/>
      <c r="OCV39" s="6"/>
      <c r="OCW39" s="6"/>
      <c r="OCX39" s="6"/>
      <c r="OCY39" s="6"/>
      <c r="OCZ39" s="6"/>
      <c r="ODA39" s="6"/>
      <c r="ODB39" s="6"/>
      <c r="ODC39" s="6"/>
      <c r="ODD39" s="6"/>
      <c r="ODE39" s="6"/>
      <c r="ODF39" s="6"/>
      <c r="ODG39" s="6"/>
      <c r="ODH39" s="6"/>
      <c r="ODI39" s="6"/>
      <c r="ODJ39" s="6"/>
      <c r="ODK39" s="6"/>
      <c r="ODL39" s="6"/>
      <c r="ODM39" s="6"/>
      <c r="ODN39" s="6"/>
      <c r="ODO39" s="6"/>
      <c r="ODP39" s="6"/>
      <c r="ODQ39" s="6"/>
      <c r="ODR39" s="6"/>
      <c r="ODS39" s="6"/>
      <c r="ODT39" s="6"/>
      <c r="ODU39" s="6"/>
      <c r="ODV39" s="6"/>
      <c r="ODW39" s="6"/>
      <c r="ODX39" s="6"/>
      <c r="ODY39" s="6"/>
      <c r="ODZ39" s="6"/>
      <c r="OEA39" s="6"/>
      <c r="OEB39" s="6"/>
      <c r="OEC39" s="6"/>
      <c r="OED39" s="6"/>
      <c r="OEE39" s="6"/>
      <c r="OEF39" s="6"/>
      <c r="OEG39" s="6"/>
      <c r="OEH39" s="6"/>
      <c r="OEI39" s="6"/>
      <c r="OEJ39" s="6"/>
      <c r="OEK39" s="6"/>
      <c r="OEL39" s="6"/>
      <c r="OEM39" s="6"/>
      <c r="OEN39" s="6"/>
      <c r="OEO39" s="6"/>
      <c r="OEP39" s="6"/>
      <c r="OEQ39" s="6"/>
      <c r="OER39" s="6"/>
      <c r="OES39" s="6"/>
      <c r="OET39" s="6"/>
      <c r="OEU39" s="6"/>
      <c r="OEV39" s="6"/>
      <c r="OEW39" s="6"/>
      <c r="OEX39" s="6"/>
      <c r="OEY39" s="6"/>
      <c r="OEZ39" s="6"/>
      <c r="OFA39" s="6"/>
      <c r="OFB39" s="6"/>
      <c r="OFC39" s="6"/>
      <c r="OFD39" s="6"/>
      <c r="OFE39" s="6"/>
      <c r="OFF39" s="6"/>
      <c r="OFG39" s="6"/>
      <c r="OFH39" s="6"/>
      <c r="OFI39" s="6"/>
      <c r="OFJ39" s="6"/>
      <c r="OFK39" s="6"/>
      <c r="OFL39" s="6"/>
      <c r="OFM39" s="6"/>
      <c r="OFN39" s="6"/>
      <c r="OFO39" s="6"/>
      <c r="OFP39" s="6"/>
      <c r="OFQ39" s="6"/>
      <c r="OFR39" s="6"/>
      <c r="OFS39" s="6"/>
      <c r="OFT39" s="6"/>
      <c r="OFU39" s="6"/>
      <c r="OFV39" s="6"/>
      <c r="OFW39" s="6"/>
      <c r="OFX39" s="6"/>
      <c r="OFY39" s="6"/>
      <c r="OFZ39" s="6"/>
      <c r="OGA39" s="6"/>
      <c r="OGB39" s="6"/>
      <c r="OGC39" s="6"/>
      <c r="OGD39" s="6"/>
      <c r="OGE39" s="6"/>
      <c r="OGF39" s="6"/>
      <c r="OGG39" s="6"/>
      <c r="OGH39" s="6"/>
      <c r="OGI39" s="6"/>
      <c r="OGJ39" s="6"/>
      <c r="OGK39" s="6"/>
      <c r="OGL39" s="6"/>
      <c r="OGM39" s="6"/>
      <c r="OGN39" s="6"/>
      <c r="OGO39" s="6"/>
      <c r="OGP39" s="6"/>
      <c r="OGQ39" s="6"/>
      <c r="OGR39" s="6"/>
      <c r="OGS39" s="6"/>
      <c r="OGT39" s="6"/>
      <c r="OGU39" s="6"/>
      <c r="OGV39" s="6"/>
      <c r="OGW39" s="6"/>
      <c r="OGX39" s="6"/>
      <c r="OGY39" s="6"/>
      <c r="OGZ39" s="6"/>
      <c r="OHA39" s="6"/>
      <c r="OHB39" s="6"/>
      <c r="OHC39" s="6"/>
      <c r="OHD39" s="6"/>
      <c r="OHE39" s="6"/>
      <c r="OHF39" s="6"/>
      <c r="OHG39" s="6"/>
      <c r="OHH39" s="6"/>
      <c r="OHI39" s="6"/>
      <c r="OHJ39" s="6"/>
      <c r="OHK39" s="6"/>
      <c r="OHL39" s="6"/>
      <c r="OHM39" s="6"/>
      <c r="OHN39" s="6"/>
      <c r="OHO39" s="6"/>
      <c r="OHP39" s="6"/>
      <c r="OHQ39" s="6"/>
      <c r="OHR39" s="6"/>
      <c r="OHS39" s="6"/>
      <c r="OHT39" s="6"/>
      <c r="OHU39" s="6"/>
      <c r="OHV39" s="6"/>
      <c r="OHW39" s="6"/>
      <c r="OHX39" s="6"/>
      <c r="OHY39" s="6"/>
      <c r="OHZ39" s="6"/>
      <c r="OIA39" s="6"/>
      <c r="OIB39" s="6"/>
      <c r="OIC39" s="6"/>
      <c r="OID39" s="6"/>
      <c r="OIE39" s="6"/>
      <c r="OIF39" s="6"/>
      <c r="OIG39" s="6"/>
      <c r="OIH39" s="6"/>
      <c r="OII39" s="6"/>
      <c r="OIJ39" s="6"/>
      <c r="OIK39" s="6"/>
      <c r="OIL39" s="6"/>
      <c r="OIM39" s="6"/>
      <c r="OIN39" s="6"/>
      <c r="OIO39" s="6"/>
      <c r="OIP39" s="6"/>
      <c r="OIQ39" s="6"/>
      <c r="OIR39" s="6"/>
      <c r="OIS39" s="6"/>
      <c r="OIT39" s="6"/>
      <c r="OIU39" s="6"/>
      <c r="OIV39" s="6"/>
      <c r="OIW39" s="6"/>
      <c r="OIX39" s="6"/>
      <c r="OIY39" s="6"/>
      <c r="OIZ39" s="6"/>
      <c r="OJA39" s="6"/>
      <c r="OJB39" s="6"/>
      <c r="OJC39" s="6"/>
      <c r="OJD39" s="6"/>
      <c r="OJE39" s="6"/>
      <c r="OJF39" s="6"/>
      <c r="OJG39" s="6"/>
      <c r="OJH39" s="6"/>
      <c r="OJI39" s="6"/>
      <c r="OJJ39" s="6"/>
      <c r="OJK39" s="6"/>
      <c r="OJL39" s="6"/>
      <c r="OJM39" s="6"/>
      <c r="OJN39" s="6"/>
      <c r="OJO39" s="6"/>
      <c r="OJP39" s="6"/>
      <c r="OJQ39" s="6"/>
      <c r="OJR39" s="6"/>
      <c r="OJS39" s="6"/>
      <c r="OJT39" s="6"/>
      <c r="OJU39" s="6"/>
      <c r="OJV39" s="6"/>
      <c r="OJW39" s="6"/>
      <c r="OJX39" s="6"/>
      <c r="OJY39" s="6"/>
      <c r="OJZ39" s="6"/>
      <c r="OKA39" s="6"/>
      <c r="OKB39" s="6"/>
      <c r="OKC39" s="6"/>
      <c r="OKD39" s="6"/>
      <c r="OKE39" s="6"/>
      <c r="OKF39" s="6"/>
      <c r="OKG39" s="6"/>
      <c r="OKH39" s="6"/>
      <c r="OKI39" s="6"/>
      <c r="OKJ39" s="6"/>
      <c r="OKK39" s="6"/>
      <c r="OKL39" s="6"/>
      <c r="OKM39" s="6"/>
      <c r="OKN39" s="6"/>
      <c r="OKO39" s="6"/>
      <c r="OKP39" s="6"/>
      <c r="OKQ39" s="6"/>
      <c r="OKR39" s="6"/>
      <c r="OKS39" s="6"/>
      <c r="OKT39" s="6"/>
      <c r="OKU39" s="6"/>
      <c r="OKV39" s="6"/>
      <c r="OKW39" s="6"/>
      <c r="OKX39" s="6"/>
      <c r="OKY39" s="6"/>
      <c r="OKZ39" s="6"/>
      <c r="OLA39" s="6"/>
      <c r="OLB39" s="6"/>
      <c r="OLC39" s="6"/>
      <c r="OLD39" s="6"/>
      <c r="OLE39" s="6"/>
      <c r="OLF39" s="6"/>
      <c r="OLG39" s="6"/>
      <c r="OLH39" s="6"/>
      <c r="OLI39" s="6"/>
      <c r="OLJ39" s="6"/>
      <c r="OLK39" s="6"/>
      <c r="OLL39" s="6"/>
      <c r="OLM39" s="6"/>
      <c r="OLN39" s="6"/>
      <c r="OLO39" s="6"/>
      <c r="OLP39" s="6"/>
      <c r="OLQ39" s="6"/>
      <c r="OLR39" s="6"/>
      <c r="OLS39" s="6"/>
      <c r="OLT39" s="6"/>
      <c r="OLU39" s="6"/>
      <c r="OLV39" s="6"/>
      <c r="OLW39" s="6"/>
      <c r="OLX39" s="6"/>
      <c r="OLY39" s="6"/>
      <c r="OLZ39" s="6"/>
      <c r="OMA39" s="6"/>
      <c r="OMB39" s="6"/>
      <c r="OMC39" s="6"/>
      <c r="OMD39" s="6"/>
      <c r="OME39" s="6"/>
      <c r="OMF39" s="6"/>
      <c r="OMG39" s="6"/>
      <c r="OMH39" s="6"/>
      <c r="OMI39" s="6"/>
      <c r="OMJ39" s="6"/>
      <c r="OMK39" s="6"/>
      <c r="OML39" s="6"/>
      <c r="OMM39" s="6"/>
      <c r="OMN39" s="6"/>
      <c r="OMO39" s="6"/>
      <c r="OMP39" s="6"/>
      <c r="OMQ39" s="6"/>
      <c r="OMR39" s="6"/>
      <c r="OMS39" s="6"/>
      <c r="OMT39" s="6"/>
      <c r="OMU39" s="6"/>
      <c r="OMV39" s="6"/>
      <c r="OMW39" s="6"/>
      <c r="OMX39" s="6"/>
      <c r="OMY39" s="6"/>
      <c r="OMZ39" s="6"/>
      <c r="ONA39" s="6"/>
      <c r="ONB39" s="6"/>
      <c r="ONC39" s="6"/>
      <c r="OND39" s="6"/>
      <c r="ONE39" s="6"/>
      <c r="ONF39" s="6"/>
      <c r="ONG39" s="6"/>
      <c r="ONH39" s="6"/>
      <c r="ONI39" s="6"/>
      <c r="ONJ39" s="6"/>
      <c r="ONK39" s="6"/>
      <c r="ONL39" s="6"/>
      <c r="ONM39" s="6"/>
      <c r="ONN39" s="6"/>
      <c r="ONO39" s="6"/>
      <c r="ONP39" s="6"/>
      <c r="ONQ39" s="6"/>
      <c r="ONR39" s="6"/>
      <c r="ONS39" s="6"/>
      <c r="ONT39" s="6"/>
      <c r="ONU39" s="6"/>
      <c r="ONV39" s="6"/>
      <c r="ONW39" s="6"/>
      <c r="ONX39" s="6"/>
      <c r="ONY39" s="6"/>
      <c r="ONZ39" s="6"/>
      <c r="OOA39" s="6"/>
      <c r="OOB39" s="6"/>
      <c r="OOC39" s="6"/>
      <c r="OOD39" s="6"/>
      <c r="OOE39" s="6"/>
      <c r="OOF39" s="6"/>
      <c r="OOG39" s="6"/>
      <c r="OOH39" s="6"/>
      <c r="OOI39" s="6"/>
      <c r="OOJ39" s="6"/>
      <c r="OOK39" s="6"/>
      <c r="OOL39" s="6"/>
      <c r="OOM39" s="6"/>
      <c r="OON39" s="6"/>
      <c r="OOO39" s="6"/>
      <c r="OOP39" s="6"/>
      <c r="OOQ39" s="6"/>
      <c r="OOR39" s="6"/>
      <c r="OOS39" s="6"/>
      <c r="OOT39" s="6"/>
      <c r="OOU39" s="6"/>
      <c r="OOV39" s="6"/>
      <c r="OOW39" s="6"/>
      <c r="OOX39" s="6"/>
      <c r="OOY39" s="6"/>
      <c r="OOZ39" s="6"/>
      <c r="OPA39" s="6"/>
      <c r="OPB39" s="6"/>
      <c r="OPC39" s="6"/>
      <c r="OPD39" s="6"/>
      <c r="OPE39" s="6"/>
      <c r="OPF39" s="6"/>
      <c r="OPG39" s="6"/>
      <c r="OPH39" s="6"/>
      <c r="OPI39" s="6"/>
      <c r="OPJ39" s="6"/>
      <c r="OPK39" s="6"/>
      <c r="OPL39" s="6"/>
      <c r="OPM39" s="6"/>
      <c r="OPN39" s="6"/>
      <c r="OPO39" s="6"/>
      <c r="OPP39" s="6"/>
      <c r="OPQ39" s="6"/>
      <c r="OPR39" s="6"/>
      <c r="OPS39" s="6"/>
      <c r="OPT39" s="6"/>
      <c r="OPU39" s="6"/>
      <c r="OPV39" s="6"/>
      <c r="OPW39" s="6"/>
      <c r="OPX39" s="6"/>
      <c r="OPY39" s="6"/>
      <c r="OPZ39" s="6"/>
      <c r="OQA39" s="6"/>
      <c r="OQB39" s="6"/>
      <c r="OQC39" s="6"/>
      <c r="OQD39" s="6"/>
      <c r="OQE39" s="6"/>
      <c r="OQF39" s="6"/>
      <c r="OQG39" s="6"/>
      <c r="OQH39" s="6"/>
      <c r="OQI39" s="6"/>
      <c r="OQJ39" s="6"/>
      <c r="OQK39" s="6"/>
      <c r="OQL39" s="6"/>
      <c r="OQM39" s="6"/>
      <c r="OQN39" s="6"/>
      <c r="OQO39" s="6"/>
      <c r="OQP39" s="6"/>
      <c r="OQQ39" s="6"/>
      <c r="OQR39" s="6"/>
      <c r="OQS39" s="6"/>
      <c r="OQT39" s="6"/>
      <c r="OQU39" s="6"/>
      <c r="OQV39" s="6"/>
      <c r="OQW39" s="6"/>
      <c r="OQX39" s="6"/>
      <c r="OQY39" s="6"/>
      <c r="OQZ39" s="6"/>
      <c r="ORA39" s="6"/>
      <c r="ORB39" s="6"/>
      <c r="ORC39" s="6"/>
      <c r="ORD39" s="6"/>
      <c r="ORE39" s="6"/>
      <c r="ORF39" s="6"/>
      <c r="ORG39" s="6"/>
      <c r="ORH39" s="6"/>
      <c r="ORI39" s="6"/>
      <c r="ORJ39" s="6"/>
      <c r="ORK39" s="6"/>
      <c r="ORL39" s="6"/>
      <c r="ORM39" s="6"/>
      <c r="ORN39" s="6"/>
      <c r="ORO39" s="6"/>
      <c r="ORP39" s="6"/>
      <c r="ORQ39" s="6"/>
      <c r="ORR39" s="6"/>
      <c r="ORS39" s="6"/>
      <c r="ORT39" s="6"/>
      <c r="ORU39" s="6"/>
      <c r="ORV39" s="6"/>
      <c r="ORW39" s="6"/>
      <c r="ORX39" s="6"/>
      <c r="ORY39" s="6"/>
      <c r="ORZ39" s="6"/>
      <c r="OSA39" s="6"/>
      <c r="OSB39" s="6"/>
      <c r="OSC39" s="6"/>
      <c r="OSD39" s="6"/>
      <c r="OSE39" s="6"/>
      <c r="OSF39" s="6"/>
      <c r="OSG39" s="6"/>
      <c r="OSH39" s="6"/>
      <c r="OSI39" s="6"/>
      <c r="OSJ39" s="6"/>
      <c r="OSK39" s="6"/>
      <c r="OSL39" s="6"/>
      <c r="OSM39" s="6"/>
      <c r="OSN39" s="6"/>
      <c r="OSO39" s="6"/>
      <c r="OSP39" s="6"/>
      <c r="OSQ39" s="6"/>
      <c r="OSR39" s="6"/>
      <c r="OSS39" s="6"/>
      <c r="OST39" s="6"/>
      <c r="OSU39" s="6"/>
      <c r="OSV39" s="6"/>
      <c r="OSW39" s="6"/>
      <c r="OSX39" s="6"/>
      <c r="OSY39" s="6"/>
      <c r="OSZ39" s="6"/>
      <c r="OTA39" s="6"/>
      <c r="OTB39" s="6"/>
      <c r="OTC39" s="6"/>
      <c r="OTD39" s="6"/>
      <c r="OTE39" s="6"/>
      <c r="OTF39" s="6"/>
      <c r="OTG39" s="6"/>
      <c r="OTH39" s="6"/>
      <c r="OTI39" s="6"/>
      <c r="OTJ39" s="6"/>
      <c r="OTK39" s="6"/>
      <c r="OTL39" s="6"/>
      <c r="OTM39" s="6"/>
      <c r="OTN39" s="6"/>
      <c r="OTO39" s="6"/>
      <c r="OTP39" s="6"/>
      <c r="OTQ39" s="6"/>
      <c r="OTR39" s="6"/>
      <c r="OTS39" s="6"/>
      <c r="OTT39" s="6"/>
      <c r="OTU39" s="6"/>
      <c r="OTV39" s="6"/>
      <c r="OTW39" s="6"/>
      <c r="OTX39" s="6"/>
      <c r="OTY39" s="6"/>
      <c r="OTZ39" s="6"/>
      <c r="OUA39" s="6"/>
      <c r="OUB39" s="6"/>
      <c r="OUC39" s="6"/>
      <c r="OUD39" s="6"/>
      <c r="OUE39" s="6"/>
      <c r="OUF39" s="6"/>
      <c r="OUG39" s="6"/>
      <c r="OUH39" s="6"/>
      <c r="OUI39" s="6"/>
      <c r="OUJ39" s="6"/>
      <c r="OUK39" s="6"/>
      <c r="OUL39" s="6"/>
      <c r="OUM39" s="6"/>
      <c r="OUN39" s="6"/>
      <c r="OUO39" s="6"/>
      <c r="OUP39" s="6"/>
      <c r="OUQ39" s="6"/>
      <c r="OUR39" s="6"/>
      <c r="OUS39" s="6"/>
      <c r="OUT39" s="6"/>
      <c r="OUU39" s="6"/>
      <c r="OUV39" s="6"/>
      <c r="OUW39" s="6"/>
      <c r="OUX39" s="6"/>
      <c r="OUY39" s="6"/>
      <c r="OUZ39" s="6"/>
      <c r="OVA39" s="6"/>
      <c r="OVB39" s="6"/>
      <c r="OVC39" s="6"/>
      <c r="OVD39" s="6"/>
      <c r="OVE39" s="6"/>
      <c r="OVF39" s="6"/>
      <c r="OVG39" s="6"/>
      <c r="OVH39" s="6"/>
      <c r="OVI39" s="6"/>
      <c r="OVJ39" s="6"/>
      <c r="OVK39" s="6"/>
      <c r="OVL39" s="6"/>
      <c r="OVM39" s="6"/>
      <c r="OVN39" s="6"/>
      <c r="OVO39" s="6"/>
      <c r="OVP39" s="6"/>
      <c r="OVQ39" s="6"/>
      <c r="OVR39" s="6"/>
      <c r="OVS39" s="6"/>
      <c r="OVT39" s="6"/>
      <c r="OVU39" s="6"/>
      <c r="OVV39" s="6"/>
      <c r="OVW39" s="6"/>
      <c r="OVX39" s="6"/>
      <c r="OVY39" s="6"/>
      <c r="OVZ39" s="6"/>
      <c r="OWA39" s="6"/>
      <c r="OWB39" s="6"/>
      <c r="OWC39" s="6"/>
      <c r="OWD39" s="6"/>
      <c r="OWE39" s="6"/>
      <c r="OWF39" s="6"/>
      <c r="OWG39" s="6"/>
      <c r="OWH39" s="6"/>
      <c r="OWI39" s="6"/>
      <c r="OWJ39" s="6"/>
      <c r="OWK39" s="6"/>
      <c r="OWL39" s="6"/>
      <c r="OWM39" s="6"/>
      <c r="OWN39" s="6"/>
      <c r="OWO39" s="6"/>
      <c r="OWP39" s="6"/>
      <c r="OWQ39" s="6"/>
      <c r="OWR39" s="6"/>
      <c r="OWS39" s="6"/>
      <c r="OWT39" s="6"/>
      <c r="OWU39" s="6"/>
      <c r="OWV39" s="6"/>
      <c r="OWW39" s="6"/>
      <c r="OWX39" s="6"/>
      <c r="OWY39" s="6"/>
      <c r="OWZ39" s="6"/>
      <c r="OXA39" s="6"/>
      <c r="OXB39" s="6"/>
      <c r="OXC39" s="6"/>
      <c r="OXD39" s="6"/>
      <c r="OXE39" s="6"/>
      <c r="OXF39" s="6"/>
      <c r="OXG39" s="6"/>
      <c r="OXH39" s="6"/>
      <c r="OXI39" s="6"/>
      <c r="OXJ39" s="6"/>
      <c r="OXK39" s="6"/>
      <c r="OXL39" s="6"/>
      <c r="OXM39" s="6"/>
      <c r="OXN39" s="6"/>
      <c r="OXO39" s="6"/>
      <c r="OXP39" s="6"/>
      <c r="OXQ39" s="6"/>
      <c r="OXR39" s="6"/>
      <c r="OXS39" s="6"/>
      <c r="OXT39" s="6"/>
      <c r="OXU39" s="6"/>
      <c r="OXV39" s="6"/>
      <c r="OXW39" s="6"/>
      <c r="OXX39" s="6"/>
      <c r="OXY39" s="6"/>
      <c r="OXZ39" s="6"/>
      <c r="OYA39" s="6"/>
      <c r="OYB39" s="6"/>
      <c r="OYC39" s="6"/>
      <c r="OYD39" s="6"/>
      <c r="OYE39" s="6"/>
      <c r="OYF39" s="6"/>
      <c r="OYG39" s="6"/>
      <c r="OYH39" s="6"/>
      <c r="OYI39" s="6"/>
      <c r="OYJ39" s="6"/>
      <c r="OYK39" s="6"/>
      <c r="OYL39" s="6"/>
      <c r="OYM39" s="6"/>
      <c r="OYN39" s="6"/>
      <c r="OYO39" s="6"/>
      <c r="OYP39" s="6"/>
      <c r="OYQ39" s="6"/>
      <c r="OYR39" s="6"/>
      <c r="OYS39" s="6"/>
      <c r="OYT39" s="6"/>
      <c r="OYU39" s="6"/>
      <c r="OYV39" s="6"/>
      <c r="OYW39" s="6"/>
      <c r="OYX39" s="6"/>
      <c r="OYY39" s="6"/>
      <c r="OYZ39" s="6"/>
      <c r="OZA39" s="6"/>
      <c r="OZB39" s="6"/>
      <c r="OZC39" s="6"/>
      <c r="OZD39" s="6"/>
      <c r="OZE39" s="6"/>
      <c r="OZF39" s="6"/>
      <c r="OZG39" s="6"/>
      <c r="OZH39" s="6"/>
      <c r="OZI39" s="6"/>
      <c r="OZJ39" s="6"/>
      <c r="OZK39" s="6"/>
      <c r="OZL39" s="6"/>
      <c r="OZM39" s="6"/>
      <c r="OZN39" s="6"/>
      <c r="OZO39" s="6"/>
      <c r="OZP39" s="6"/>
      <c r="OZQ39" s="6"/>
      <c r="OZR39" s="6"/>
      <c r="OZS39" s="6"/>
      <c r="OZT39" s="6"/>
      <c r="OZU39" s="6"/>
      <c r="OZV39" s="6"/>
      <c r="OZW39" s="6"/>
      <c r="OZX39" s="6"/>
      <c r="OZY39" s="6"/>
      <c r="OZZ39" s="6"/>
      <c r="PAA39" s="6"/>
      <c r="PAB39" s="6"/>
      <c r="PAC39" s="6"/>
      <c r="PAD39" s="6"/>
      <c r="PAE39" s="6"/>
      <c r="PAF39" s="6"/>
      <c r="PAG39" s="6"/>
      <c r="PAH39" s="6"/>
      <c r="PAI39" s="6"/>
      <c r="PAJ39" s="6"/>
      <c r="PAK39" s="6"/>
      <c r="PAL39" s="6"/>
      <c r="PAM39" s="6"/>
      <c r="PAN39" s="6"/>
      <c r="PAO39" s="6"/>
      <c r="PAP39" s="6"/>
      <c r="PAQ39" s="6"/>
      <c r="PAR39" s="6"/>
      <c r="PAS39" s="6"/>
      <c r="PAT39" s="6"/>
      <c r="PAU39" s="6"/>
      <c r="PAV39" s="6"/>
      <c r="PAW39" s="6"/>
      <c r="PAX39" s="6"/>
      <c r="PAY39" s="6"/>
      <c r="PAZ39" s="6"/>
      <c r="PBA39" s="6"/>
      <c r="PBB39" s="6"/>
      <c r="PBC39" s="6"/>
      <c r="PBD39" s="6"/>
      <c r="PBE39" s="6"/>
      <c r="PBF39" s="6"/>
      <c r="PBG39" s="6"/>
      <c r="PBH39" s="6"/>
      <c r="PBI39" s="6"/>
      <c r="PBJ39" s="6"/>
      <c r="PBK39" s="6"/>
      <c r="PBL39" s="6"/>
      <c r="PBM39" s="6"/>
      <c r="PBN39" s="6"/>
      <c r="PBO39" s="6"/>
      <c r="PBP39" s="6"/>
      <c r="PBQ39" s="6"/>
      <c r="PBR39" s="6"/>
      <c r="PBS39" s="6"/>
      <c r="PBT39" s="6"/>
      <c r="PBU39" s="6"/>
      <c r="PBV39" s="6"/>
      <c r="PBW39" s="6"/>
      <c r="PBX39" s="6"/>
      <c r="PBY39" s="6"/>
      <c r="PBZ39" s="6"/>
      <c r="PCA39" s="6"/>
      <c r="PCB39" s="6"/>
      <c r="PCC39" s="6"/>
      <c r="PCD39" s="6"/>
      <c r="PCE39" s="6"/>
      <c r="PCF39" s="6"/>
      <c r="PCG39" s="6"/>
      <c r="PCH39" s="6"/>
      <c r="PCI39" s="6"/>
      <c r="PCJ39" s="6"/>
      <c r="PCK39" s="6"/>
      <c r="PCL39" s="6"/>
      <c r="PCM39" s="6"/>
      <c r="PCN39" s="6"/>
      <c r="PCO39" s="6"/>
      <c r="PCP39" s="6"/>
      <c r="PCQ39" s="6"/>
      <c r="PCR39" s="6"/>
      <c r="PCS39" s="6"/>
      <c r="PCT39" s="6"/>
      <c r="PCU39" s="6"/>
      <c r="PCV39" s="6"/>
      <c r="PCW39" s="6"/>
      <c r="PCX39" s="6"/>
      <c r="PCY39" s="6"/>
      <c r="PCZ39" s="6"/>
      <c r="PDA39" s="6"/>
      <c r="PDB39" s="6"/>
      <c r="PDC39" s="6"/>
      <c r="PDD39" s="6"/>
      <c r="PDE39" s="6"/>
      <c r="PDF39" s="6"/>
      <c r="PDG39" s="6"/>
      <c r="PDH39" s="6"/>
      <c r="PDI39" s="6"/>
      <c r="PDJ39" s="6"/>
      <c r="PDK39" s="6"/>
      <c r="PDL39" s="6"/>
      <c r="PDM39" s="6"/>
      <c r="PDN39" s="6"/>
      <c r="PDO39" s="6"/>
      <c r="PDP39" s="6"/>
      <c r="PDQ39" s="6"/>
      <c r="PDR39" s="6"/>
      <c r="PDS39" s="6"/>
      <c r="PDT39" s="6"/>
      <c r="PDU39" s="6"/>
      <c r="PDV39" s="6"/>
      <c r="PDW39" s="6"/>
      <c r="PDX39" s="6"/>
      <c r="PDY39" s="6"/>
      <c r="PDZ39" s="6"/>
      <c r="PEA39" s="6"/>
      <c r="PEB39" s="6"/>
      <c r="PEC39" s="6"/>
      <c r="PED39" s="6"/>
      <c r="PEE39" s="6"/>
      <c r="PEF39" s="6"/>
      <c r="PEG39" s="6"/>
      <c r="PEH39" s="6"/>
      <c r="PEI39" s="6"/>
      <c r="PEJ39" s="6"/>
      <c r="PEK39" s="6"/>
      <c r="PEL39" s="6"/>
      <c r="PEM39" s="6"/>
      <c r="PEN39" s="6"/>
      <c r="PEO39" s="6"/>
      <c r="PEP39" s="6"/>
      <c r="PEQ39" s="6"/>
      <c r="PER39" s="6"/>
      <c r="PES39" s="6"/>
      <c r="PET39" s="6"/>
      <c r="PEU39" s="6"/>
      <c r="PEV39" s="6"/>
      <c r="PEW39" s="6"/>
      <c r="PEX39" s="6"/>
      <c r="PEY39" s="6"/>
      <c r="PEZ39" s="6"/>
      <c r="PFA39" s="6"/>
      <c r="PFB39" s="6"/>
      <c r="PFC39" s="6"/>
      <c r="PFD39" s="6"/>
      <c r="PFE39" s="6"/>
      <c r="PFF39" s="6"/>
      <c r="PFG39" s="6"/>
      <c r="PFH39" s="6"/>
      <c r="PFI39" s="6"/>
      <c r="PFJ39" s="6"/>
      <c r="PFK39" s="6"/>
      <c r="PFL39" s="6"/>
      <c r="PFM39" s="6"/>
      <c r="PFN39" s="6"/>
      <c r="PFO39" s="6"/>
      <c r="PFP39" s="6"/>
      <c r="PFQ39" s="6"/>
      <c r="PFR39" s="6"/>
      <c r="PFS39" s="6"/>
      <c r="PFT39" s="6"/>
      <c r="PFU39" s="6"/>
      <c r="PFV39" s="6"/>
      <c r="PFW39" s="6"/>
      <c r="PFX39" s="6"/>
      <c r="PFY39" s="6"/>
      <c r="PFZ39" s="6"/>
      <c r="PGA39" s="6"/>
      <c r="PGB39" s="6"/>
      <c r="PGC39" s="6"/>
      <c r="PGD39" s="6"/>
      <c r="PGE39" s="6"/>
      <c r="PGF39" s="6"/>
      <c r="PGG39" s="6"/>
      <c r="PGH39" s="6"/>
      <c r="PGI39" s="6"/>
      <c r="PGJ39" s="6"/>
      <c r="PGK39" s="6"/>
      <c r="PGL39" s="6"/>
      <c r="PGM39" s="6"/>
      <c r="PGN39" s="6"/>
      <c r="PGO39" s="6"/>
      <c r="PGP39" s="6"/>
      <c r="PGQ39" s="6"/>
      <c r="PGR39" s="6"/>
      <c r="PGS39" s="6"/>
      <c r="PGT39" s="6"/>
      <c r="PGU39" s="6"/>
      <c r="PGV39" s="6"/>
      <c r="PGW39" s="6"/>
      <c r="PGX39" s="6"/>
      <c r="PGY39" s="6"/>
      <c r="PGZ39" s="6"/>
      <c r="PHA39" s="6"/>
      <c r="PHB39" s="6"/>
      <c r="PHC39" s="6"/>
      <c r="PHD39" s="6"/>
      <c r="PHE39" s="6"/>
      <c r="PHF39" s="6"/>
      <c r="PHG39" s="6"/>
      <c r="PHH39" s="6"/>
      <c r="PHI39" s="6"/>
      <c r="PHJ39" s="6"/>
      <c r="PHK39" s="6"/>
      <c r="PHL39" s="6"/>
      <c r="PHM39" s="6"/>
      <c r="PHN39" s="6"/>
      <c r="PHO39" s="6"/>
      <c r="PHP39" s="6"/>
      <c r="PHQ39" s="6"/>
      <c r="PHR39" s="6"/>
      <c r="PHS39" s="6"/>
      <c r="PHT39" s="6"/>
      <c r="PHU39" s="6"/>
      <c r="PHV39" s="6"/>
      <c r="PHW39" s="6"/>
      <c r="PHX39" s="6"/>
      <c r="PHY39" s="6"/>
      <c r="PHZ39" s="6"/>
      <c r="PIA39" s="6"/>
      <c r="PIB39" s="6"/>
      <c r="PIC39" s="6"/>
      <c r="PID39" s="6"/>
      <c r="PIE39" s="6"/>
      <c r="PIF39" s="6"/>
      <c r="PIG39" s="6"/>
      <c r="PIH39" s="6"/>
      <c r="PII39" s="6"/>
      <c r="PIJ39" s="6"/>
      <c r="PIK39" s="6"/>
      <c r="PIL39" s="6"/>
      <c r="PIM39" s="6"/>
      <c r="PIN39" s="6"/>
      <c r="PIO39" s="6"/>
      <c r="PIP39" s="6"/>
      <c r="PIQ39" s="6"/>
      <c r="PIR39" s="6"/>
      <c r="PIS39" s="6"/>
      <c r="PIT39" s="6"/>
      <c r="PIU39" s="6"/>
      <c r="PIV39" s="6"/>
      <c r="PIW39" s="6"/>
      <c r="PIX39" s="6"/>
      <c r="PIY39" s="6"/>
      <c r="PIZ39" s="6"/>
      <c r="PJA39" s="6"/>
      <c r="PJB39" s="6"/>
      <c r="PJC39" s="6"/>
      <c r="PJD39" s="6"/>
      <c r="PJE39" s="6"/>
      <c r="PJF39" s="6"/>
      <c r="PJG39" s="6"/>
      <c r="PJH39" s="6"/>
      <c r="PJI39" s="6"/>
      <c r="PJJ39" s="6"/>
      <c r="PJK39" s="6"/>
      <c r="PJL39" s="6"/>
      <c r="PJM39" s="6"/>
      <c r="PJN39" s="6"/>
      <c r="PJO39" s="6"/>
      <c r="PJP39" s="6"/>
      <c r="PJQ39" s="6"/>
      <c r="PJR39" s="6"/>
      <c r="PJS39" s="6"/>
      <c r="PJT39" s="6"/>
      <c r="PJU39" s="6"/>
      <c r="PJV39" s="6"/>
      <c r="PJW39" s="6"/>
      <c r="PJX39" s="6"/>
      <c r="PJY39" s="6"/>
      <c r="PJZ39" s="6"/>
      <c r="PKA39" s="6"/>
      <c r="PKB39" s="6"/>
      <c r="PKC39" s="6"/>
      <c r="PKD39" s="6"/>
      <c r="PKE39" s="6"/>
      <c r="PKF39" s="6"/>
      <c r="PKG39" s="6"/>
      <c r="PKH39" s="6"/>
      <c r="PKI39" s="6"/>
      <c r="PKJ39" s="6"/>
      <c r="PKK39" s="6"/>
      <c r="PKL39" s="6"/>
      <c r="PKM39" s="6"/>
      <c r="PKN39" s="6"/>
      <c r="PKO39" s="6"/>
      <c r="PKP39" s="6"/>
      <c r="PKQ39" s="6"/>
      <c r="PKR39" s="6"/>
      <c r="PKS39" s="6"/>
      <c r="PKT39" s="6"/>
      <c r="PKU39" s="6"/>
      <c r="PKV39" s="6"/>
      <c r="PKW39" s="6"/>
      <c r="PKX39" s="6"/>
      <c r="PKY39" s="6"/>
      <c r="PKZ39" s="6"/>
      <c r="PLA39" s="6"/>
      <c r="PLB39" s="6"/>
      <c r="PLC39" s="6"/>
      <c r="PLD39" s="6"/>
      <c r="PLE39" s="6"/>
      <c r="PLF39" s="6"/>
      <c r="PLG39" s="6"/>
      <c r="PLH39" s="6"/>
      <c r="PLI39" s="6"/>
      <c r="PLJ39" s="6"/>
      <c r="PLK39" s="6"/>
      <c r="PLL39" s="6"/>
      <c r="PLM39" s="6"/>
      <c r="PLN39" s="6"/>
      <c r="PLO39" s="6"/>
      <c r="PLP39" s="6"/>
      <c r="PLQ39" s="6"/>
      <c r="PLR39" s="6"/>
      <c r="PLS39" s="6"/>
      <c r="PLT39" s="6"/>
      <c r="PLU39" s="6"/>
      <c r="PLV39" s="6"/>
      <c r="PLW39" s="6"/>
      <c r="PLX39" s="6"/>
      <c r="PLY39" s="6"/>
      <c r="PLZ39" s="6"/>
      <c r="PMA39" s="6"/>
      <c r="PMB39" s="6"/>
      <c r="PMC39" s="6"/>
      <c r="PMD39" s="6"/>
      <c r="PME39" s="6"/>
      <c r="PMF39" s="6"/>
      <c r="PMG39" s="6"/>
      <c r="PMH39" s="6"/>
      <c r="PMI39" s="6"/>
      <c r="PMJ39" s="6"/>
      <c r="PMK39" s="6"/>
      <c r="PML39" s="6"/>
      <c r="PMM39" s="6"/>
      <c r="PMN39" s="6"/>
      <c r="PMO39" s="6"/>
      <c r="PMP39" s="6"/>
      <c r="PMQ39" s="6"/>
      <c r="PMR39" s="6"/>
      <c r="PMS39" s="6"/>
      <c r="PMT39" s="6"/>
      <c r="PMU39" s="6"/>
      <c r="PMV39" s="6"/>
      <c r="PMW39" s="6"/>
      <c r="PMX39" s="6"/>
      <c r="PMY39" s="6"/>
      <c r="PMZ39" s="6"/>
      <c r="PNA39" s="6"/>
      <c r="PNB39" s="6"/>
      <c r="PNC39" s="6"/>
      <c r="PND39" s="6"/>
      <c r="PNE39" s="6"/>
      <c r="PNF39" s="6"/>
      <c r="PNG39" s="6"/>
      <c r="PNH39" s="6"/>
      <c r="PNI39" s="6"/>
      <c r="PNJ39" s="6"/>
      <c r="PNK39" s="6"/>
      <c r="PNL39" s="6"/>
      <c r="PNM39" s="6"/>
      <c r="PNN39" s="6"/>
      <c r="PNO39" s="6"/>
      <c r="PNP39" s="6"/>
      <c r="PNQ39" s="6"/>
      <c r="PNR39" s="6"/>
      <c r="PNS39" s="6"/>
      <c r="PNT39" s="6"/>
      <c r="PNU39" s="6"/>
      <c r="PNV39" s="6"/>
      <c r="PNW39" s="6"/>
      <c r="PNX39" s="6"/>
      <c r="PNY39" s="6"/>
      <c r="PNZ39" s="6"/>
      <c r="POA39" s="6"/>
      <c r="POB39" s="6"/>
      <c r="POC39" s="6"/>
      <c r="POD39" s="6"/>
      <c r="POE39" s="6"/>
      <c r="POF39" s="6"/>
      <c r="POG39" s="6"/>
      <c r="POH39" s="6"/>
      <c r="POI39" s="6"/>
      <c r="POJ39" s="6"/>
      <c r="POK39" s="6"/>
      <c r="POL39" s="6"/>
      <c r="POM39" s="6"/>
      <c r="PON39" s="6"/>
      <c r="POO39" s="6"/>
      <c r="POP39" s="6"/>
      <c r="POQ39" s="6"/>
      <c r="POR39" s="6"/>
      <c r="POS39" s="6"/>
      <c r="POT39" s="6"/>
      <c r="POU39" s="6"/>
      <c r="POV39" s="6"/>
      <c r="POW39" s="6"/>
      <c r="POX39" s="6"/>
      <c r="POY39" s="6"/>
      <c r="POZ39" s="6"/>
      <c r="PPA39" s="6"/>
      <c r="PPB39" s="6"/>
      <c r="PPC39" s="6"/>
      <c r="PPD39" s="6"/>
      <c r="PPE39" s="6"/>
      <c r="PPF39" s="6"/>
      <c r="PPG39" s="6"/>
      <c r="PPH39" s="6"/>
      <c r="PPI39" s="6"/>
      <c r="PPJ39" s="6"/>
      <c r="PPK39" s="6"/>
      <c r="PPL39" s="6"/>
      <c r="PPM39" s="6"/>
      <c r="PPN39" s="6"/>
      <c r="PPO39" s="6"/>
      <c r="PPP39" s="6"/>
      <c r="PPQ39" s="6"/>
      <c r="PPR39" s="6"/>
      <c r="PPS39" s="6"/>
      <c r="PPT39" s="6"/>
      <c r="PPU39" s="6"/>
      <c r="PPV39" s="6"/>
      <c r="PPW39" s="6"/>
      <c r="PPX39" s="6"/>
      <c r="PPY39" s="6"/>
      <c r="PPZ39" s="6"/>
      <c r="PQA39" s="6"/>
      <c r="PQB39" s="6"/>
      <c r="PQC39" s="6"/>
      <c r="PQD39" s="6"/>
      <c r="PQE39" s="6"/>
      <c r="PQF39" s="6"/>
      <c r="PQG39" s="6"/>
      <c r="PQH39" s="6"/>
      <c r="PQI39" s="6"/>
      <c r="PQJ39" s="6"/>
      <c r="PQK39" s="6"/>
      <c r="PQL39" s="6"/>
      <c r="PQM39" s="6"/>
      <c r="PQN39" s="6"/>
      <c r="PQO39" s="6"/>
      <c r="PQP39" s="6"/>
      <c r="PQQ39" s="6"/>
      <c r="PQR39" s="6"/>
      <c r="PQS39" s="6"/>
      <c r="PQT39" s="6"/>
      <c r="PQU39" s="6"/>
      <c r="PQV39" s="6"/>
      <c r="PQW39" s="6"/>
      <c r="PQX39" s="6"/>
      <c r="PQY39" s="6"/>
      <c r="PQZ39" s="6"/>
      <c r="PRA39" s="6"/>
      <c r="PRB39" s="6"/>
      <c r="PRC39" s="6"/>
      <c r="PRD39" s="6"/>
      <c r="PRE39" s="6"/>
      <c r="PRF39" s="6"/>
      <c r="PRG39" s="6"/>
      <c r="PRH39" s="6"/>
      <c r="PRI39" s="6"/>
      <c r="PRJ39" s="6"/>
      <c r="PRK39" s="6"/>
      <c r="PRL39" s="6"/>
      <c r="PRM39" s="6"/>
      <c r="PRN39" s="6"/>
      <c r="PRO39" s="6"/>
      <c r="PRP39" s="6"/>
      <c r="PRQ39" s="6"/>
      <c r="PRR39" s="6"/>
      <c r="PRS39" s="6"/>
      <c r="PRT39" s="6"/>
      <c r="PRU39" s="6"/>
      <c r="PRV39" s="6"/>
      <c r="PRW39" s="6"/>
      <c r="PRX39" s="6"/>
      <c r="PRY39" s="6"/>
      <c r="PRZ39" s="6"/>
      <c r="PSA39" s="6"/>
      <c r="PSB39" s="6"/>
      <c r="PSC39" s="6"/>
      <c r="PSD39" s="6"/>
      <c r="PSE39" s="6"/>
      <c r="PSF39" s="6"/>
      <c r="PSG39" s="6"/>
      <c r="PSH39" s="6"/>
      <c r="PSI39" s="6"/>
      <c r="PSJ39" s="6"/>
      <c r="PSK39" s="6"/>
      <c r="PSL39" s="6"/>
      <c r="PSM39" s="6"/>
      <c r="PSN39" s="6"/>
      <c r="PSO39" s="6"/>
      <c r="PSP39" s="6"/>
      <c r="PSQ39" s="6"/>
      <c r="PSR39" s="6"/>
      <c r="PSS39" s="6"/>
      <c r="PST39" s="6"/>
      <c r="PSU39" s="6"/>
      <c r="PSV39" s="6"/>
      <c r="PSW39" s="6"/>
      <c r="PSX39" s="6"/>
      <c r="PSY39" s="6"/>
      <c r="PSZ39" s="6"/>
      <c r="PTA39" s="6"/>
      <c r="PTB39" s="6"/>
      <c r="PTC39" s="6"/>
      <c r="PTD39" s="6"/>
      <c r="PTE39" s="6"/>
      <c r="PTF39" s="6"/>
      <c r="PTG39" s="6"/>
      <c r="PTH39" s="6"/>
      <c r="PTI39" s="6"/>
      <c r="PTJ39" s="6"/>
      <c r="PTK39" s="6"/>
      <c r="PTL39" s="6"/>
      <c r="PTM39" s="6"/>
      <c r="PTN39" s="6"/>
      <c r="PTO39" s="6"/>
      <c r="PTP39" s="6"/>
      <c r="PTQ39" s="6"/>
      <c r="PTR39" s="6"/>
      <c r="PTS39" s="6"/>
      <c r="PTT39" s="6"/>
      <c r="PTU39" s="6"/>
      <c r="PTV39" s="6"/>
      <c r="PTW39" s="6"/>
      <c r="PTX39" s="6"/>
      <c r="PTY39" s="6"/>
      <c r="PTZ39" s="6"/>
      <c r="PUA39" s="6"/>
      <c r="PUB39" s="6"/>
      <c r="PUC39" s="6"/>
      <c r="PUD39" s="6"/>
      <c r="PUE39" s="6"/>
      <c r="PUF39" s="6"/>
      <c r="PUG39" s="6"/>
      <c r="PUH39" s="6"/>
      <c r="PUI39" s="6"/>
      <c r="PUJ39" s="6"/>
      <c r="PUK39" s="6"/>
      <c r="PUL39" s="6"/>
      <c r="PUM39" s="6"/>
      <c r="PUN39" s="6"/>
      <c r="PUO39" s="6"/>
      <c r="PUP39" s="6"/>
      <c r="PUQ39" s="6"/>
      <c r="PUR39" s="6"/>
      <c r="PUS39" s="6"/>
      <c r="PUT39" s="6"/>
      <c r="PUU39" s="6"/>
      <c r="PUV39" s="6"/>
      <c r="PUW39" s="6"/>
      <c r="PUX39" s="6"/>
      <c r="PUY39" s="6"/>
      <c r="PUZ39" s="6"/>
      <c r="PVA39" s="6"/>
      <c r="PVB39" s="6"/>
      <c r="PVC39" s="6"/>
      <c r="PVD39" s="6"/>
      <c r="PVE39" s="6"/>
      <c r="PVF39" s="6"/>
      <c r="PVG39" s="6"/>
      <c r="PVH39" s="6"/>
      <c r="PVI39" s="6"/>
      <c r="PVJ39" s="6"/>
      <c r="PVK39" s="6"/>
      <c r="PVL39" s="6"/>
      <c r="PVM39" s="6"/>
      <c r="PVN39" s="6"/>
      <c r="PVO39" s="6"/>
      <c r="PVP39" s="6"/>
      <c r="PVQ39" s="6"/>
      <c r="PVR39" s="6"/>
      <c r="PVS39" s="6"/>
      <c r="PVT39" s="6"/>
      <c r="PVU39" s="6"/>
      <c r="PVV39" s="6"/>
      <c r="PVW39" s="6"/>
      <c r="PVX39" s="6"/>
      <c r="PVY39" s="6"/>
      <c r="PVZ39" s="6"/>
      <c r="PWA39" s="6"/>
      <c r="PWB39" s="6"/>
      <c r="PWC39" s="6"/>
      <c r="PWD39" s="6"/>
      <c r="PWE39" s="6"/>
      <c r="PWF39" s="6"/>
      <c r="PWG39" s="6"/>
      <c r="PWH39" s="6"/>
      <c r="PWI39" s="6"/>
      <c r="PWJ39" s="6"/>
      <c r="PWK39" s="6"/>
      <c r="PWL39" s="6"/>
      <c r="PWM39" s="6"/>
      <c r="PWN39" s="6"/>
      <c r="PWO39" s="6"/>
      <c r="PWP39" s="6"/>
      <c r="PWQ39" s="6"/>
      <c r="PWR39" s="6"/>
      <c r="PWS39" s="6"/>
      <c r="PWT39" s="6"/>
      <c r="PWU39" s="6"/>
      <c r="PWV39" s="6"/>
      <c r="PWW39" s="6"/>
      <c r="PWX39" s="6"/>
      <c r="PWY39" s="6"/>
      <c r="PWZ39" s="6"/>
      <c r="PXA39" s="6"/>
      <c r="PXB39" s="6"/>
      <c r="PXC39" s="6"/>
      <c r="PXD39" s="6"/>
      <c r="PXE39" s="6"/>
      <c r="PXF39" s="6"/>
      <c r="PXG39" s="6"/>
      <c r="PXH39" s="6"/>
      <c r="PXI39" s="6"/>
      <c r="PXJ39" s="6"/>
      <c r="PXK39" s="6"/>
      <c r="PXL39" s="6"/>
      <c r="PXM39" s="6"/>
      <c r="PXN39" s="6"/>
      <c r="PXO39" s="6"/>
      <c r="PXP39" s="6"/>
      <c r="PXQ39" s="6"/>
      <c r="PXR39" s="6"/>
      <c r="PXS39" s="6"/>
      <c r="PXT39" s="6"/>
      <c r="PXU39" s="6"/>
      <c r="PXV39" s="6"/>
      <c r="PXW39" s="6"/>
      <c r="PXX39" s="6"/>
      <c r="PXY39" s="6"/>
      <c r="PXZ39" s="6"/>
      <c r="PYA39" s="6"/>
      <c r="PYB39" s="6"/>
      <c r="PYC39" s="6"/>
      <c r="PYD39" s="6"/>
      <c r="PYE39" s="6"/>
      <c r="PYF39" s="6"/>
      <c r="PYG39" s="6"/>
      <c r="PYH39" s="6"/>
      <c r="PYI39" s="6"/>
      <c r="PYJ39" s="6"/>
      <c r="PYK39" s="6"/>
      <c r="PYL39" s="6"/>
      <c r="PYM39" s="6"/>
      <c r="PYN39" s="6"/>
      <c r="PYO39" s="6"/>
      <c r="PYP39" s="6"/>
      <c r="PYQ39" s="6"/>
      <c r="PYR39" s="6"/>
      <c r="PYS39" s="6"/>
      <c r="PYT39" s="6"/>
      <c r="PYU39" s="6"/>
      <c r="PYV39" s="6"/>
      <c r="PYW39" s="6"/>
      <c r="PYX39" s="6"/>
      <c r="PYY39" s="6"/>
      <c r="PYZ39" s="6"/>
      <c r="PZA39" s="6"/>
      <c r="PZB39" s="6"/>
      <c r="PZC39" s="6"/>
      <c r="PZD39" s="6"/>
      <c r="PZE39" s="6"/>
      <c r="PZF39" s="6"/>
      <c r="PZG39" s="6"/>
      <c r="PZH39" s="6"/>
      <c r="PZI39" s="6"/>
      <c r="PZJ39" s="6"/>
      <c r="PZK39" s="6"/>
      <c r="PZL39" s="6"/>
      <c r="PZM39" s="6"/>
      <c r="PZN39" s="6"/>
      <c r="PZO39" s="6"/>
      <c r="PZP39" s="6"/>
      <c r="PZQ39" s="6"/>
      <c r="PZR39" s="6"/>
      <c r="PZS39" s="6"/>
      <c r="PZT39" s="6"/>
      <c r="PZU39" s="6"/>
      <c r="PZV39" s="6"/>
      <c r="PZW39" s="6"/>
      <c r="PZX39" s="6"/>
      <c r="PZY39" s="6"/>
      <c r="PZZ39" s="6"/>
      <c r="QAA39" s="6"/>
      <c r="QAB39" s="6"/>
      <c r="QAC39" s="6"/>
      <c r="QAD39" s="6"/>
      <c r="QAE39" s="6"/>
      <c r="QAF39" s="6"/>
      <c r="QAG39" s="6"/>
      <c r="QAH39" s="6"/>
      <c r="QAI39" s="6"/>
      <c r="QAJ39" s="6"/>
      <c r="QAK39" s="6"/>
      <c r="QAL39" s="6"/>
      <c r="QAM39" s="6"/>
      <c r="QAN39" s="6"/>
      <c r="QAO39" s="6"/>
      <c r="QAP39" s="6"/>
      <c r="QAQ39" s="6"/>
      <c r="QAR39" s="6"/>
      <c r="QAS39" s="6"/>
      <c r="QAT39" s="6"/>
      <c r="QAU39" s="6"/>
      <c r="QAV39" s="6"/>
      <c r="QAW39" s="6"/>
      <c r="QAX39" s="6"/>
      <c r="QAY39" s="6"/>
      <c r="QAZ39" s="6"/>
      <c r="QBA39" s="6"/>
      <c r="QBB39" s="6"/>
      <c r="QBC39" s="6"/>
      <c r="QBD39" s="6"/>
      <c r="QBE39" s="6"/>
      <c r="QBF39" s="6"/>
      <c r="QBG39" s="6"/>
      <c r="QBH39" s="6"/>
      <c r="QBI39" s="6"/>
      <c r="QBJ39" s="6"/>
      <c r="QBK39" s="6"/>
      <c r="QBL39" s="6"/>
      <c r="QBM39" s="6"/>
      <c r="QBN39" s="6"/>
      <c r="QBO39" s="6"/>
      <c r="QBP39" s="6"/>
      <c r="QBQ39" s="6"/>
      <c r="QBR39" s="6"/>
      <c r="QBS39" s="6"/>
      <c r="QBT39" s="6"/>
      <c r="QBU39" s="6"/>
      <c r="QBV39" s="6"/>
      <c r="QBW39" s="6"/>
      <c r="QBX39" s="6"/>
      <c r="QBY39" s="6"/>
      <c r="QBZ39" s="6"/>
      <c r="QCA39" s="6"/>
      <c r="QCB39" s="6"/>
      <c r="QCC39" s="6"/>
      <c r="QCD39" s="6"/>
      <c r="QCE39" s="6"/>
      <c r="QCF39" s="6"/>
      <c r="QCG39" s="6"/>
      <c r="QCH39" s="6"/>
      <c r="QCI39" s="6"/>
      <c r="QCJ39" s="6"/>
      <c r="QCK39" s="6"/>
      <c r="QCL39" s="6"/>
      <c r="QCM39" s="6"/>
      <c r="QCN39" s="6"/>
      <c r="QCO39" s="6"/>
      <c r="QCP39" s="6"/>
      <c r="QCQ39" s="6"/>
      <c r="QCR39" s="6"/>
      <c r="QCS39" s="6"/>
      <c r="QCT39" s="6"/>
      <c r="QCU39" s="6"/>
      <c r="QCV39" s="6"/>
      <c r="QCW39" s="6"/>
      <c r="QCX39" s="6"/>
      <c r="QCY39" s="6"/>
      <c r="QCZ39" s="6"/>
      <c r="QDA39" s="6"/>
      <c r="QDB39" s="6"/>
      <c r="QDC39" s="6"/>
      <c r="QDD39" s="6"/>
      <c r="QDE39" s="6"/>
      <c r="QDF39" s="6"/>
      <c r="QDG39" s="6"/>
      <c r="QDH39" s="6"/>
      <c r="QDI39" s="6"/>
      <c r="QDJ39" s="6"/>
      <c r="QDK39" s="6"/>
      <c r="QDL39" s="6"/>
      <c r="QDM39" s="6"/>
      <c r="QDN39" s="6"/>
      <c r="QDO39" s="6"/>
      <c r="QDP39" s="6"/>
      <c r="QDQ39" s="6"/>
      <c r="QDR39" s="6"/>
      <c r="QDS39" s="6"/>
      <c r="QDT39" s="6"/>
      <c r="QDU39" s="6"/>
      <c r="QDV39" s="6"/>
      <c r="QDW39" s="6"/>
      <c r="QDX39" s="6"/>
      <c r="QDY39" s="6"/>
      <c r="QDZ39" s="6"/>
      <c r="QEA39" s="6"/>
      <c r="QEB39" s="6"/>
      <c r="QEC39" s="6"/>
      <c r="QED39" s="6"/>
      <c r="QEE39" s="6"/>
      <c r="QEF39" s="6"/>
      <c r="QEG39" s="6"/>
      <c r="QEH39" s="6"/>
      <c r="QEI39" s="6"/>
      <c r="QEJ39" s="6"/>
      <c r="QEK39" s="6"/>
      <c r="QEL39" s="6"/>
      <c r="QEM39" s="6"/>
      <c r="QEN39" s="6"/>
      <c r="QEO39" s="6"/>
      <c r="QEP39" s="6"/>
      <c r="QEQ39" s="6"/>
      <c r="QER39" s="6"/>
      <c r="QES39" s="6"/>
      <c r="QET39" s="6"/>
      <c r="QEU39" s="6"/>
      <c r="QEV39" s="6"/>
      <c r="QEW39" s="6"/>
      <c r="QEX39" s="6"/>
      <c r="QEY39" s="6"/>
      <c r="QEZ39" s="6"/>
      <c r="QFA39" s="6"/>
      <c r="QFB39" s="6"/>
      <c r="QFC39" s="6"/>
      <c r="QFD39" s="6"/>
      <c r="QFE39" s="6"/>
      <c r="QFF39" s="6"/>
      <c r="QFG39" s="6"/>
      <c r="QFH39" s="6"/>
      <c r="QFI39" s="6"/>
      <c r="QFJ39" s="6"/>
      <c r="QFK39" s="6"/>
      <c r="QFL39" s="6"/>
      <c r="QFM39" s="6"/>
      <c r="QFN39" s="6"/>
      <c r="QFO39" s="6"/>
      <c r="QFP39" s="6"/>
      <c r="QFQ39" s="6"/>
      <c r="QFR39" s="6"/>
      <c r="QFS39" s="6"/>
      <c r="QFT39" s="6"/>
      <c r="QFU39" s="6"/>
      <c r="QFV39" s="6"/>
      <c r="QFW39" s="6"/>
      <c r="QFX39" s="6"/>
      <c r="QFY39" s="6"/>
      <c r="QFZ39" s="6"/>
      <c r="QGA39" s="6"/>
      <c r="QGB39" s="6"/>
      <c r="QGC39" s="6"/>
      <c r="QGD39" s="6"/>
      <c r="QGE39" s="6"/>
      <c r="QGF39" s="6"/>
      <c r="QGG39" s="6"/>
      <c r="QGH39" s="6"/>
      <c r="QGI39" s="6"/>
      <c r="QGJ39" s="6"/>
      <c r="QGK39" s="6"/>
      <c r="QGL39" s="6"/>
      <c r="QGM39" s="6"/>
      <c r="QGN39" s="6"/>
      <c r="QGO39" s="6"/>
      <c r="QGP39" s="6"/>
      <c r="QGQ39" s="6"/>
      <c r="QGR39" s="6"/>
      <c r="QGS39" s="6"/>
      <c r="QGT39" s="6"/>
      <c r="QGU39" s="6"/>
      <c r="QGV39" s="6"/>
      <c r="QGW39" s="6"/>
      <c r="QGX39" s="6"/>
      <c r="QGY39" s="6"/>
      <c r="QGZ39" s="6"/>
      <c r="QHA39" s="6"/>
      <c r="QHB39" s="6"/>
      <c r="QHC39" s="6"/>
      <c r="QHD39" s="6"/>
      <c r="QHE39" s="6"/>
      <c r="QHF39" s="6"/>
      <c r="QHG39" s="6"/>
      <c r="QHH39" s="6"/>
      <c r="QHI39" s="6"/>
      <c r="QHJ39" s="6"/>
      <c r="QHK39" s="6"/>
      <c r="QHL39" s="6"/>
      <c r="QHM39" s="6"/>
      <c r="QHN39" s="6"/>
      <c r="QHO39" s="6"/>
      <c r="QHP39" s="6"/>
      <c r="QHQ39" s="6"/>
      <c r="QHR39" s="6"/>
      <c r="QHS39" s="6"/>
      <c r="QHT39" s="6"/>
      <c r="QHU39" s="6"/>
      <c r="QHV39" s="6"/>
      <c r="QHW39" s="6"/>
      <c r="QHX39" s="6"/>
      <c r="QHY39" s="6"/>
      <c r="QHZ39" s="6"/>
      <c r="QIA39" s="6"/>
      <c r="QIB39" s="6"/>
      <c r="QIC39" s="6"/>
      <c r="QID39" s="6"/>
      <c r="QIE39" s="6"/>
      <c r="QIF39" s="6"/>
      <c r="QIG39" s="6"/>
      <c r="QIH39" s="6"/>
      <c r="QII39" s="6"/>
      <c r="QIJ39" s="6"/>
      <c r="QIK39" s="6"/>
      <c r="QIL39" s="6"/>
      <c r="QIM39" s="6"/>
      <c r="QIN39" s="6"/>
      <c r="QIO39" s="6"/>
      <c r="QIP39" s="6"/>
      <c r="QIQ39" s="6"/>
      <c r="QIR39" s="6"/>
      <c r="QIS39" s="6"/>
      <c r="QIT39" s="6"/>
      <c r="QIU39" s="6"/>
      <c r="QIV39" s="6"/>
      <c r="QIW39" s="6"/>
      <c r="QIX39" s="6"/>
      <c r="QIY39" s="6"/>
      <c r="QIZ39" s="6"/>
      <c r="QJA39" s="6"/>
      <c r="QJB39" s="6"/>
      <c r="QJC39" s="6"/>
      <c r="QJD39" s="6"/>
      <c r="QJE39" s="6"/>
      <c r="QJF39" s="6"/>
      <c r="QJG39" s="6"/>
      <c r="QJH39" s="6"/>
      <c r="QJI39" s="6"/>
      <c r="QJJ39" s="6"/>
      <c r="QJK39" s="6"/>
      <c r="QJL39" s="6"/>
      <c r="QJM39" s="6"/>
      <c r="QJN39" s="6"/>
      <c r="QJO39" s="6"/>
      <c r="QJP39" s="6"/>
      <c r="QJQ39" s="6"/>
      <c r="QJR39" s="6"/>
      <c r="QJS39" s="6"/>
      <c r="QJT39" s="6"/>
      <c r="QJU39" s="6"/>
      <c r="QJV39" s="6"/>
      <c r="QJW39" s="6"/>
      <c r="QJX39" s="6"/>
      <c r="QJY39" s="6"/>
      <c r="QJZ39" s="6"/>
      <c r="QKA39" s="6"/>
      <c r="QKB39" s="6"/>
      <c r="QKC39" s="6"/>
      <c r="QKD39" s="6"/>
      <c r="QKE39" s="6"/>
      <c r="QKF39" s="6"/>
      <c r="QKG39" s="6"/>
      <c r="QKH39" s="6"/>
      <c r="QKI39" s="6"/>
      <c r="QKJ39" s="6"/>
      <c r="QKK39" s="6"/>
      <c r="QKL39" s="6"/>
      <c r="QKM39" s="6"/>
      <c r="QKN39" s="6"/>
      <c r="QKO39" s="6"/>
      <c r="QKP39" s="6"/>
      <c r="QKQ39" s="6"/>
      <c r="QKR39" s="6"/>
      <c r="QKS39" s="6"/>
      <c r="QKT39" s="6"/>
      <c r="QKU39" s="6"/>
      <c r="QKV39" s="6"/>
      <c r="QKW39" s="6"/>
      <c r="QKX39" s="6"/>
      <c r="QKY39" s="6"/>
      <c r="QKZ39" s="6"/>
      <c r="QLA39" s="6"/>
      <c r="QLB39" s="6"/>
      <c r="QLC39" s="6"/>
      <c r="QLD39" s="6"/>
      <c r="QLE39" s="6"/>
      <c r="QLF39" s="6"/>
      <c r="QLG39" s="6"/>
      <c r="QLH39" s="6"/>
      <c r="QLI39" s="6"/>
      <c r="QLJ39" s="6"/>
      <c r="QLK39" s="6"/>
      <c r="QLL39" s="6"/>
      <c r="QLM39" s="6"/>
      <c r="QLN39" s="6"/>
      <c r="QLO39" s="6"/>
      <c r="QLP39" s="6"/>
      <c r="QLQ39" s="6"/>
      <c r="QLR39" s="6"/>
      <c r="QLS39" s="6"/>
      <c r="QLT39" s="6"/>
      <c r="QLU39" s="6"/>
      <c r="QLV39" s="6"/>
      <c r="QLW39" s="6"/>
      <c r="QLX39" s="6"/>
      <c r="QLY39" s="6"/>
      <c r="QLZ39" s="6"/>
      <c r="QMA39" s="6"/>
      <c r="QMB39" s="6"/>
      <c r="QMC39" s="6"/>
      <c r="QMD39" s="6"/>
      <c r="QME39" s="6"/>
      <c r="QMF39" s="6"/>
      <c r="QMG39" s="6"/>
      <c r="QMH39" s="6"/>
      <c r="QMI39" s="6"/>
      <c r="QMJ39" s="6"/>
      <c r="QMK39" s="6"/>
      <c r="QML39" s="6"/>
      <c r="QMM39" s="6"/>
      <c r="QMN39" s="6"/>
      <c r="QMO39" s="6"/>
      <c r="QMP39" s="6"/>
      <c r="QMQ39" s="6"/>
      <c r="QMR39" s="6"/>
      <c r="QMS39" s="6"/>
      <c r="QMT39" s="6"/>
      <c r="QMU39" s="6"/>
      <c r="QMV39" s="6"/>
      <c r="QMW39" s="6"/>
      <c r="QMX39" s="6"/>
      <c r="QMY39" s="6"/>
      <c r="QMZ39" s="6"/>
      <c r="QNA39" s="6"/>
      <c r="QNB39" s="6"/>
      <c r="QNC39" s="6"/>
      <c r="QND39" s="6"/>
      <c r="QNE39" s="6"/>
      <c r="QNF39" s="6"/>
      <c r="QNG39" s="6"/>
      <c r="QNH39" s="6"/>
      <c r="QNI39" s="6"/>
      <c r="QNJ39" s="6"/>
      <c r="QNK39" s="6"/>
      <c r="QNL39" s="6"/>
      <c r="QNM39" s="6"/>
      <c r="QNN39" s="6"/>
      <c r="QNO39" s="6"/>
      <c r="QNP39" s="6"/>
      <c r="QNQ39" s="6"/>
      <c r="QNR39" s="6"/>
      <c r="QNS39" s="6"/>
      <c r="QNT39" s="6"/>
      <c r="QNU39" s="6"/>
      <c r="QNV39" s="6"/>
      <c r="QNW39" s="6"/>
      <c r="QNX39" s="6"/>
      <c r="QNY39" s="6"/>
      <c r="QNZ39" s="6"/>
      <c r="QOA39" s="6"/>
      <c r="QOB39" s="6"/>
      <c r="QOC39" s="6"/>
      <c r="QOD39" s="6"/>
      <c r="QOE39" s="6"/>
      <c r="QOF39" s="6"/>
      <c r="QOG39" s="6"/>
      <c r="QOH39" s="6"/>
      <c r="QOI39" s="6"/>
      <c r="QOJ39" s="6"/>
      <c r="QOK39" s="6"/>
      <c r="QOL39" s="6"/>
      <c r="QOM39" s="6"/>
      <c r="QON39" s="6"/>
      <c r="QOO39" s="6"/>
      <c r="QOP39" s="6"/>
      <c r="QOQ39" s="6"/>
      <c r="QOR39" s="6"/>
      <c r="QOS39" s="6"/>
      <c r="QOT39" s="6"/>
      <c r="QOU39" s="6"/>
      <c r="QOV39" s="6"/>
      <c r="QOW39" s="6"/>
      <c r="QOX39" s="6"/>
      <c r="QOY39" s="6"/>
      <c r="QOZ39" s="6"/>
      <c r="QPA39" s="6"/>
      <c r="QPB39" s="6"/>
      <c r="QPC39" s="6"/>
      <c r="QPD39" s="6"/>
      <c r="QPE39" s="6"/>
      <c r="QPF39" s="6"/>
      <c r="QPG39" s="6"/>
      <c r="QPH39" s="6"/>
      <c r="QPI39" s="6"/>
      <c r="QPJ39" s="6"/>
      <c r="QPK39" s="6"/>
      <c r="QPL39" s="6"/>
      <c r="QPM39" s="6"/>
      <c r="QPN39" s="6"/>
      <c r="QPO39" s="6"/>
      <c r="QPP39" s="6"/>
      <c r="QPQ39" s="6"/>
      <c r="QPR39" s="6"/>
      <c r="QPS39" s="6"/>
      <c r="QPT39" s="6"/>
      <c r="QPU39" s="6"/>
      <c r="QPV39" s="6"/>
      <c r="QPW39" s="6"/>
      <c r="QPX39" s="6"/>
      <c r="QPY39" s="6"/>
      <c r="QPZ39" s="6"/>
      <c r="QQA39" s="6"/>
      <c r="QQB39" s="6"/>
      <c r="QQC39" s="6"/>
      <c r="QQD39" s="6"/>
      <c r="QQE39" s="6"/>
      <c r="QQF39" s="6"/>
      <c r="QQG39" s="6"/>
      <c r="QQH39" s="6"/>
      <c r="QQI39" s="6"/>
      <c r="QQJ39" s="6"/>
      <c r="QQK39" s="6"/>
      <c r="QQL39" s="6"/>
      <c r="QQM39" s="6"/>
      <c r="QQN39" s="6"/>
      <c r="QQO39" s="6"/>
      <c r="QQP39" s="6"/>
      <c r="QQQ39" s="6"/>
      <c r="QQR39" s="6"/>
      <c r="QQS39" s="6"/>
      <c r="QQT39" s="6"/>
      <c r="QQU39" s="6"/>
      <c r="QQV39" s="6"/>
      <c r="QQW39" s="6"/>
      <c r="QQX39" s="6"/>
      <c r="QQY39" s="6"/>
      <c r="QQZ39" s="6"/>
      <c r="QRA39" s="6"/>
      <c r="QRB39" s="6"/>
      <c r="QRC39" s="6"/>
      <c r="QRD39" s="6"/>
      <c r="QRE39" s="6"/>
      <c r="QRF39" s="6"/>
      <c r="QRG39" s="6"/>
      <c r="QRH39" s="6"/>
      <c r="QRI39" s="6"/>
      <c r="QRJ39" s="6"/>
      <c r="QRK39" s="6"/>
      <c r="QRL39" s="6"/>
      <c r="QRM39" s="6"/>
      <c r="QRN39" s="6"/>
      <c r="QRO39" s="6"/>
      <c r="QRP39" s="6"/>
      <c r="QRQ39" s="6"/>
      <c r="QRR39" s="6"/>
      <c r="QRS39" s="6"/>
      <c r="QRT39" s="6"/>
      <c r="QRU39" s="6"/>
      <c r="QRV39" s="6"/>
      <c r="QRW39" s="6"/>
      <c r="QRX39" s="6"/>
      <c r="QRY39" s="6"/>
      <c r="QRZ39" s="6"/>
      <c r="QSA39" s="6"/>
      <c r="QSB39" s="6"/>
      <c r="QSC39" s="6"/>
      <c r="QSD39" s="6"/>
      <c r="QSE39" s="6"/>
      <c r="QSF39" s="6"/>
      <c r="QSG39" s="6"/>
      <c r="QSH39" s="6"/>
      <c r="QSI39" s="6"/>
      <c r="QSJ39" s="6"/>
      <c r="QSK39" s="6"/>
      <c r="QSL39" s="6"/>
      <c r="QSM39" s="6"/>
      <c r="QSN39" s="6"/>
      <c r="QSO39" s="6"/>
      <c r="QSP39" s="6"/>
      <c r="QSQ39" s="6"/>
      <c r="QSR39" s="6"/>
      <c r="QSS39" s="6"/>
      <c r="QST39" s="6"/>
      <c r="QSU39" s="6"/>
      <c r="QSV39" s="6"/>
      <c r="QSW39" s="6"/>
      <c r="QSX39" s="6"/>
      <c r="QSY39" s="6"/>
      <c r="QSZ39" s="6"/>
      <c r="QTA39" s="6"/>
      <c r="QTB39" s="6"/>
      <c r="QTC39" s="6"/>
      <c r="QTD39" s="6"/>
      <c r="QTE39" s="6"/>
      <c r="QTF39" s="6"/>
      <c r="QTG39" s="6"/>
      <c r="QTH39" s="6"/>
      <c r="QTI39" s="6"/>
      <c r="QTJ39" s="6"/>
      <c r="QTK39" s="6"/>
      <c r="QTL39" s="6"/>
      <c r="QTM39" s="6"/>
      <c r="QTN39" s="6"/>
      <c r="QTO39" s="6"/>
      <c r="QTP39" s="6"/>
      <c r="QTQ39" s="6"/>
      <c r="QTR39" s="6"/>
      <c r="QTS39" s="6"/>
      <c r="QTT39" s="6"/>
      <c r="QTU39" s="6"/>
      <c r="QTV39" s="6"/>
      <c r="QTW39" s="6"/>
      <c r="QTX39" s="6"/>
      <c r="QTY39" s="6"/>
      <c r="QTZ39" s="6"/>
      <c r="QUA39" s="6"/>
      <c r="QUB39" s="6"/>
      <c r="QUC39" s="6"/>
      <c r="QUD39" s="6"/>
      <c r="QUE39" s="6"/>
      <c r="QUF39" s="6"/>
      <c r="QUG39" s="6"/>
      <c r="QUH39" s="6"/>
      <c r="QUI39" s="6"/>
      <c r="QUJ39" s="6"/>
      <c r="QUK39" s="6"/>
      <c r="QUL39" s="6"/>
      <c r="QUM39" s="6"/>
      <c r="QUN39" s="6"/>
      <c r="QUO39" s="6"/>
      <c r="QUP39" s="6"/>
      <c r="QUQ39" s="6"/>
      <c r="QUR39" s="6"/>
      <c r="QUS39" s="6"/>
      <c r="QUT39" s="6"/>
      <c r="QUU39" s="6"/>
      <c r="QUV39" s="6"/>
      <c r="QUW39" s="6"/>
      <c r="QUX39" s="6"/>
      <c r="QUY39" s="6"/>
      <c r="QUZ39" s="6"/>
      <c r="QVA39" s="6"/>
      <c r="QVB39" s="6"/>
      <c r="QVC39" s="6"/>
      <c r="QVD39" s="6"/>
      <c r="QVE39" s="6"/>
      <c r="QVF39" s="6"/>
      <c r="QVG39" s="6"/>
      <c r="QVH39" s="6"/>
      <c r="QVI39" s="6"/>
      <c r="QVJ39" s="6"/>
      <c r="QVK39" s="6"/>
      <c r="QVL39" s="6"/>
      <c r="QVM39" s="6"/>
      <c r="QVN39" s="6"/>
      <c r="QVO39" s="6"/>
      <c r="QVP39" s="6"/>
      <c r="QVQ39" s="6"/>
      <c r="QVR39" s="6"/>
      <c r="QVS39" s="6"/>
      <c r="QVT39" s="6"/>
      <c r="QVU39" s="6"/>
      <c r="QVV39" s="6"/>
      <c r="QVW39" s="6"/>
      <c r="QVX39" s="6"/>
      <c r="QVY39" s="6"/>
      <c r="QVZ39" s="6"/>
      <c r="QWA39" s="6"/>
      <c r="QWB39" s="6"/>
      <c r="QWC39" s="6"/>
      <c r="QWD39" s="6"/>
      <c r="QWE39" s="6"/>
      <c r="QWF39" s="6"/>
      <c r="QWG39" s="6"/>
      <c r="QWH39" s="6"/>
      <c r="QWI39" s="6"/>
      <c r="QWJ39" s="6"/>
      <c r="QWK39" s="6"/>
      <c r="QWL39" s="6"/>
      <c r="QWM39" s="6"/>
      <c r="QWN39" s="6"/>
      <c r="QWO39" s="6"/>
      <c r="QWP39" s="6"/>
      <c r="QWQ39" s="6"/>
      <c r="QWR39" s="6"/>
      <c r="QWS39" s="6"/>
      <c r="QWT39" s="6"/>
      <c r="QWU39" s="6"/>
      <c r="QWV39" s="6"/>
      <c r="QWW39" s="6"/>
      <c r="QWX39" s="6"/>
      <c r="QWY39" s="6"/>
      <c r="QWZ39" s="6"/>
      <c r="QXA39" s="6"/>
      <c r="QXB39" s="6"/>
      <c r="QXC39" s="6"/>
      <c r="QXD39" s="6"/>
      <c r="QXE39" s="6"/>
      <c r="QXF39" s="6"/>
      <c r="QXG39" s="6"/>
      <c r="QXH39" s="6"/>
      <c r="QXI39" s="6"/>
      <c r="QXJ39" s="6"/>
      <c r="QXK39" s="6"/>
      <c r="QXL39" s="6"/>
      <c r="QXM39" s="6"/>
      <c r="QXN39" s="6"/>
      <c r="QXO39" s="6"/>
      <c r="QXP39" s="6"/>
      <c r="QXQ39" s="6"/>
      <c r="QXR39" s="6"/>
      <c r="QXS39" s="6"/>
      <c r="QXT39" s="6"/>
      <c r="QXU39" s="6"/>
      <c r="QXV39" s="6"/>
      <c r="QXW39" s="6"/>
      <c r="QXX39" s="6"/>
      <c r="QXY39" s="6"/>
      <c r="QXZ39" s="6"/>
      <c r="QYA39" s="6"/>
      <c r="QYB39" s="6"/>
      <c r="QYC39" s="6"/>
      <c r="QYD39" s="6"/>
      <c r="QYE39" s="6"/>
      <c r="QYF39" s="6"/>
      <c r="QYG39" s="6"/>
      <c r="QYH39" s="6"/>
      <c r="QYI39" s="6"/>
      <c r="QYJ39" s="6"/>
      <c r="QYK39" s="6"/>
      <c r="QYL39" s="6"/>
      <c r="QYM39" s="6"/>
      <c r="QYN39" s="6"/>
      <c r="QYO39" s="6"/>
      <c r="QYP39" s="6"/>
      <c r="QYQ39" s="6"/>
      <c r="QYR39" s="6"/>
      <c r="QYS39" s="6"/>
      <c r="QYT39" s="6"/>
      <c r="QYU39" s="6"/>
      <c r="QYV39" s="6"/>
      <c r="QYW39" s="6"/>
      <c r="QYX39" s="6"/>
      <c r="QYY39" s="6"/>
      <c r="QYZ39" s="6"/>
      <c r="QZA39" s="6"/>
      <c r="QZB39" s="6"/>
      <c r="QZC39" s="6"/>
      <c r="QZD39" s="6"/>
      <c r="QZE39" s="6"/>
      <c r="QZF39" s="6"/>
      <c r="QZG39" s="6"/>
      <c r="QZH39" s="6"/>
      <c r="QZI39" s="6"/>
      <c r="QZJ39" s="6"/>
      <c r="QZK39" s="6"/>
      <c r="QZL39" s="6"/>
      <c r="QZM39" s="6"/>
      <c r="QZN39" s="6"/>
      <c r="QZO39" s="6"/>
      <c r="QZP39" s="6"/>
      <c r="QZQ39" s="6"/>
      <c r="QZR39" s="6"/>
      <c r="QZS39" s="6"/>
      <c r="QZT39" s="6"/>
      <c r="QZU39" s="6"/>
      <c r="QZV39" s="6"/>
      <c r="QZW39" s="6"/>
      <c r="QZX39" s="6"/>
      <c r="QZY39" s="6"/>
      <c r="QZZ39" s="6"/>
      <c r="RAA39" s="6"/>
      <c r="RAB39" s="6"/>
      <c r="RAC39" s="6"/>
      <c r="RAD39" s="6"/>
      <c r="RAE39" s="6"/>
      <c r="RAF39" s="6"/>
      <c r="RAG39" s="6"/>
      <c r="RAH39" s="6"/>
      <c r="RAI39" s="6"/>
      <c r="RAJ39" s="6"/>
      <c r="RAK39" s="6"/>
      <c r="RAL39" s="6"/>
      <c r="RAM39" s="6"/>
      <c r="RAN39" s="6"/>
      <c r="RAO39" s="6"/>
      <c r="RAP39" s="6"/>
      <c r="RAQ39" s="6"/>
      <c r="RAR39" s="6"/>
      <c r="RAS39" s="6"/>
      <c r="RAT39" s="6"/>
      <c r="RAU39" s="6"/>
      <c r="RAV39" s="6"/>
      <c r="RAW39" s="6"/>
      <c r="RAX39" s="6"/>
      <c r="RAY39" s="6"/>
      <c r="RAZ39" s="6"/>
      <c r="RBA39" s="6"/>
      <c r="RBB39" s="6"/>
      <c r="RBC39" s="6"/>
      <c r="RBD39" s="6"/>
      <c r="RBE39" s="6"/>
      <c r="RBF39" s="6"/>
      <c r="RBG39" s="6"/>
      <c r="RBH39" s="6"/>
      <c r="RBI39" s="6"/>
      <c r="RBJ39" s="6"/>
      <c r="RBK39" s="6"/>
      <c r="RBL39" s="6"/>
      <c r="RBM39" s="6"/>
      <c r="RBN39" s="6"/>
      <c r="RBO39" s="6"/>
      <c r="RBP39" s="6"/>
      <c r="RBQ39" s="6"/>
      <c r="RBR39" s="6"/>
      <c r="RBS39" s="6"/>
      <c r="RBT39" s="6"/>
      <c r="RBU39" s="6"/>
      <c r="RBV39" s="6"/>
      <c r="RBW39" s="6"/>
      <c r="RBX39" s="6"/>
      <c r="RBY39" s="6"/>
      <c r="RBZ39" s="6"/>
      <c r="RCA39" s="6"/>
      <c r="RCB39" s="6"/>
      <c r="RCC39" s="6"/>
      <c r="RCD39" s="6"/>
      <c r="RCE39" s="6"/>
      <c r="RCF39" s="6"/>
      <c r="RCG39" s="6"/>
      <c r="RCH39" s="6"/>
      <c r="RCI39" s="6"/>
      <c r="RCJ39" s="6"/>
      <c r="RCK39" s="6"/>
      <c r="RCL39" s="6"/>
      <c r="RCM39" s="6"/>
      <c r="RCN39" s="6"/>
      <c r="RCO39" s="6"/>
      <c r="RCP39" s="6"/>
      <c r="RCQ39" s="6"/>
      <c r="RCR39" s="6"/>
      <c r="RCS39" s="6"/>
      <c r="RCT39" s="6"/>
      <c r="RCU39" s="6"/>
      <c r="RCV39" s="6"/>
      <c r="RCW39" s="6"/>
      <c r="RCX39" s="6"/>
      <c r="RCY39" s="6"/>
      <c r="RCZ39" s="6"/>
      <c r="RDA39" s="6"/>
      <c r="RDB39" s="6"/>
      <c r="RDC39" s="6"/>
      <c r="RDD39" s="6"/>
      <c r="RDE39" s="6"/>
      <c r="RDF39" s="6"/>
      <c r="RDG39" s="6"/>
      <c r="RDH39" s="6"/>
      <c r="RDI39" s="6"/>
      <c r="RDJ39" s="6"/>
      <c r="RDK39" s="6"/>
      <c r="RDL39" s="6"/>
      <c r="RDM39" s="6"/>
      <c r="RDN39" s="6"/>
      <c r="RDO39" s="6"/>
      <c r="RDP39" s="6"/>
      <c r="RDQ39" s="6"/>
      <c r="RDR39" s="6"/>
      <c r="RDS39" s="6"/>
      <c r="RDT39" s="6"/>
      <c r="RDU39" s="6"/>
      <c r="RDV39" s="6"/>
      <c r="RDW39" s="6"/>
      <c r="RDX39" s="6"/>
      <c r="RDY39" s="6"/>
      <c r="RDZ39" s="6"/>
      <c r="REA39" s="6"/>
      <c r="REB39" s="6"/>
      <c r="REC39" s="6"/>
      <c r="RED39" s="6"/>
      <c r="REE39" s="6"/>
      <c r="REF39" s="6"/>
      <c r="REG39" s="6"/>
      <c r="REH39" s="6"/>
      <c r="REI39" s="6"/>
      <c r="REJ39" s="6"/>
      <c r="REK39" s="6"/>
      <c r="REL39" s="6"/>
      <c r="REM39" s="6"/>
      <c r="REN39" s="6"/>
      <c r="REO39" s="6"/>
      <c r="REP39" s="6"/>
      <c r="REQ39" s="6"/>
      <c r="RER39" s="6"/>
      <c r="RES39" s="6"/>
      <c r="RET39" s="6"/>
      <c r="REU39" s="6"/>
      <c r="REV39" s="6"/>
      <c r="REW39" s="6"/>
      <c r="REX39" s="6"/>
      <c r="REY39" s="6"/>
      <c r="REZ39" s="6"/>
      <c r="RFA39" s="6"/>
      <c r="RFB39" s="6"/>
      <c r="RFC39" s="6"/>
      <c r="RFD39" s="6"/>
      <c r="RFE39" s="6"/>
      <c r="RFF39" s="6"/>
      <c r="RFG39" s="6"/>
      <c r="RFH39" s="6"/>
      <c r="RFI39" s="6"/>
      <c r="RFJ39" s="6"/>
      <c r="RFK39" s="6"/>
      <c r="RFL39" s="6"/>
      <c r="RFM39" s="6"/>
      <c r="RFN39" s="6"/>
      <c r="RFO39" s="6"/>
      <c r="RFP39" s="6"/>
      <c r="RFQ39" s="6"/>
      <c r="RFR39" s="6"/>
      <c r="RFS39" s="6"/>
      <c r="RFT39" s="6"/>
      <c r="RFU39" s="6"/>
      <c r="RFV39" s="6"/>
      <c r="RFW39" s="6"/>
      <c r="RFX39" s="6"/>
      <c r="RFY39" s="6"/>
      <c r="RFZ39" s="6"/>
      <c r="RGA39" s="6"/>
      <c r="RGB39" s="6"/>
      <c r="RGC39" s="6"/>
      <c r="RGD39" s="6"/>
      <c r="RGE39" s="6"/>
      <c r="RGF39" s="6"/>
      <c r="RGG39" s="6"/>
      <c r="RGH39" s="6"/>
      <c r="RGI39" s="6"/>
      <c r="RGJ39" s="6"/>
      <c r="RGK39" s="6"/>
      <c r="RGL39" s="6"/>
      <c r="RGM39" s="6"/>
      <c r="RGN39" s="6"/>
      <c r="RGO39" s="6"/>
      <c r="RGP39" s="6"/>
      <c r="RGQ39" s="6"/>
      <c r="RGR39" s="6"/>
      <c r="RGS39" s="6"/>
      <c r="RGT39" s="6"/>
      <c r="RGU39" s="6"/>
      <c r="RGV39" s="6"/>
      <c r="RGW39" s="6"/>
      <c r="RGX39" s="6"/>
      <c r="RGY39" s="6"/>
      <c r="RGZ39" s="6"/>
      <c r="RHA39" s="6"/>
      <c r="RHB39" s="6"/>
      <c r="RHC39" s="6"/>
      <c r="RHD39" s="6"/>
      <c r="RHE39" s="6"/>
      <c r="RHF39" s="6"/>
      <c r="RHG39" s="6"/>
      <c r="RHH39" s="6"/>
      <c r="RHI39" s="6"/>
      <c r="RHJ39" s="6"/>
      <c r="RHK39" s="6"/>
      <c r="RHL39" s="6"/>
      <c r="RHM39" s="6"/>
      <c r="RHN39" s="6"/>
      <c r="RHO39" s="6"/>
      <c r="RHP39" s="6"/>
      <c r="RHQ39" s="6"/>
      <c r="RHR39" s="6"/>
      <c r="RHS39" s="6"/>
      <c r="RHT39" s="6"/>
      <c r="RHU39" s="6"/>
      <c r="RHV39" s="6"/>
      <c r="RHW39" s="6"/>
      <c r="RHX39" s="6"/>
      <c r="RHY39" s="6"/>
      <c r="RHZ39" s="6"/>
      <c r="RIA39" s="6"/>
      <c r="RIB39" s="6"/>
      <c r="RIC39" s="6"/>
      <c r="RID39" s="6"/>
      <c r="RIE39" s="6"/>
      <c r="RIF39" s="6"/>
      <c r="RIG39" s="6"/>
      <c r="RIH39" s="6"/>
      <c r="RII39" s="6"/>
      <c r="RIJ39" s="6"/>
      <c r="RIK39" s="6"/>
      <c r="RIL39" s="6"/>
      <c r="RIM39" s="6"/>
      <c r="RIN39" s="6"/>
      <c r="RIO39" s="6"/>
      <c r="RIP39" s="6"/>
      <c r="RIQ39" s="6"/>
      <c r="RIR39" s="6"/>
      <c r="RIS39" s="6"/>
      <c r="RIT39" s="6"/>
      <c r="RIU39" s="6"/>
      <c r="RIV39" s="6"/>
      <c r="RIW39" s="6"/>
      <c r="RIX39" s="6"/>
      <c r="RIY39" s="6"/>
      <c r="RIZ39" s="6"/>
      <c r="RJA39" s="6"/>
      <c r="RJB39" s="6"/>
      <c r="RJC39" s="6"/>
      <c r="RJD39" s="6"/>
      <c r="RJE39" s="6"/>
      <c r="RJF39" s="6"/>
      <c r="RJG39" s="6"/>
      <c r="RJH39" s="6"/>
      <c r="RJI39" s="6"/>
      <c r="RJJ39" s="6"/>
      <c r="RJK39" s="6"/>
      <c r="RJL39" s="6"/>
      <c r="RJM39" s="6"/>
      <c r="RJN39" s="6"/>
      <c r="RJO39" s="6"/>
      <c r="RJP39" s="6"/>
      <c r="RJQ39" s="6"/>
      <c r="RJR39" s="6"/>
      <c r="RJS39" s="6"/>
      <c r="RJT39" s="6"/>
      <c r="RJU39" s="6"/>
      <c r="RJV39" s="6"/>
      <c r="RJW39" s="6"/>
      <c r="RJX39" s="6"/>
      <c r="RJY39" s="6"/>
      <c r="RJZ39" s="6"/>
      <c r="RKA39" s="6"/>
      <c r="RKB39" s="6"/>
      <c r="RKC39" s="6"/>
      <c r="RKD39" s="6"/>
      <c r="RKE39" s="6"/>
      <c r="RKF39" s="6"/>
      <c r="RKG39" s="6"/>
      <c r="RKH39" s="6"/>
      <c r="RKI39" s="6"/>
      <c r="RKJ39" s="6"/>
      <c r="RKK39" s="6"/>
      <c r="RKL39" s="6"/>
      <c r="RKM39" s="6"/>
      <c r="RKN39" s="6"/>
      <c r="RKO39" s="6"/>
      <c r="RKP39" s="6"/>
      <c r="RKQ39" s="6"/>
      <c r="RKR39" s="6"/>
      <c r="RKS39" s="6"/>
      <c r="RKT39" s="6"/>
      <c r="RKU39" s="6"/>
      <c r="RKV39" s="6"/>
      <c r="RKW39" s="6"/>
      <c r="RKX39" s="6"/>
      <c r="RKY39" s="6"/>
      <c r="RKZ39" s="6"/>
      <c r="RLA39" s="6"/>
      <c r="RLB39" s="6"/>
      <c r="RLC39" s="6"/>
      <c r="RLD39" s="6"/>
      <c r="RLE39" s="6"/>
      <c r="RLF39" s="6"/>
      <c r="RLG39" s="6"/>
      <c r="RLH39" s="6"/>
      <c r="RLI39" s="6"/>
      <c r="RLJ39" s="6"/>
      <c r="RLK39" s="6"/>
      <c r="RLL39" s="6"/>
      <c r="RLM39" s="6"/>
      <c r="RLN39" s="6"/>
      <c r="RLO39" s="6"/>
      <c r="RLP39" s="6"/>
      <c r="RLQ39" s="6"/>
      <c r="RLR39" s="6"/>
      <c r="RLS39" s="6"/>
      <c r="RLT39" s="6"/>
      <c r="RLU39" s="6"/>
      <c r="RLV39" s="6"/>
      <c r="RLW39" s="6"/>
      <c r="RLX39" s="6"/>
      <c r="RLY39" s="6"/>
      <c r="RLZ39" s="6"/>
      <c r="RMA39" s="6"/>
      <c r="RMB39" s="6"/>
      <c r="RMC39" s="6"/>
      <c r="RMD39" s="6"/>
      <c r="RME39" s="6"/>
      <c r="RMF39" s="6"/>
      <c r="RMG39" s="6"/>
      <c r="RMH39" s="6"/>
      <c r="RMI39" s="6"/>
      <c r="RMJ39" s="6"/>
      <c r="RMK39" s="6"/>
      <c r="RML39" s="6"/>
      <c r="RMM39" s="6"/>
      <c r="RMN39" s="6"/>
      <c r="RMO39" s="6"/>
      <c r="RMP39" s="6"/>
      <c r="RMQ39" s="6"/>
      <c r="RMR39" s="6"/>
      <c r="RMS39" s="6"/>
      <c r="RMT39" s="6"/>
      <c r="RMU39" s="6"/>
      <c r="RMV39" s="6"/>
      <c r="RMW39" s="6"/>
      <c r="RMX39" s="6"/>
      <c r="RMY39" s="6"/>
      <c r="RMZ39" s="6"/>
      <c r="RNA39" s="6"/>
      <c r="RNB39" s="6"/>
      <c r="RNC39" s="6"/>
      <c r="RND39" s="6"/>
      <c r="RNE39" s="6"/>
      <c r="RNF39" s="6"/>
      <c r="RNG39" s="6"/>
      <c r="RNH39" s="6"/>
      <c r="RNI39" s="6"/>
      <c r="RNJ39" s="6"/>
      <c r="RNK39" s="6"/>
      <c r="RNL39" s="6"/>
      <c r="RNM39" s="6"/>
      <c r="RNN39" s="6"/>
      <c r="RNO39" s="6"/>
      <c r="RNP39" s="6"/>
      <c r="RNQ39" s="6"/>
      <c r="RNR39" s="6"/>
      <c r="RNS39" s="6"/>
      <c r="RNT39" s="6"/>
      <c r="RNU39" s="6"/>
      <c r="RNV39" s="6"/>
      <c r="RNW39" s="6"/>
      <c r="RNX39" s="6"/>
      <c r="RNY39" s="6"/>
      <c r="RNZ39" s="6"/>
      <c r="ROA39" s="6"/>
      <c r="ROB39" s="6"/>
      <c r="ROC39" s="6"/>
      <c r="ROD39" s="6"/>
      <c r="ROE39" s="6"/>
      <c r="ROF39" s="6"/>
      <c r="ROG39" s="6"/>
      <c r="ROH39" s="6"/>
      <c r="ROI39" s="6"/>
      <c r="ROJ39" s="6"/>
      <c r="ROK39" s="6"/>
      <c r="ROL39" s="6"/>
      <c r="ROM39" s="6"/>
      <c r="RON39" s="6"/>
      <c r="ROO39" s="6"/>
      <c r="ROP39" s="6"/>
      <c r="ROQ39" s="6"/>
      <c r="ROR39" s="6"/>
      <c r="ROS39" s="6"/>
      <c r="ROT39" s="6"/>
      <c r="ROU39" s="6"/>
      <c r="ROV39" s="6"/>
      <c r="ROW39" s="6"/>
      <c r="ROX39" s="6"/>
      <c r="ROY39" s="6"/>
      <c r="ROZ39" s="6"/>
      <c r="RPA39" s="6"/>
      <c r="RPB39" s="6"/>
      <c r="RPC39" s="6"/>
      <c r="RPD39" s="6"/>
      <c r="RPE39" s="6"/>
      <c r="RPF39" s="6"/>
      <c r="RPG39" s="6"/>
      <c r="RPH39" s="6"/>
      <c r="RPI39" s="6"/>
      <c r="RPJ39" s="6"/>
      <c r="RPK39" s="6"/>
      <c r="RPL39" s="6"/>
      <c r="RPM39" s="6"/>
      <c r="RPN39" s="6"/>
      <c r="RPO39" s="6"/>
      <c r="RPP39" s="6"/>
      <c r="RPQ39" s="6"/>
      <c r="RPR39" s="6"/>
      <c r="RPS39" s="6"/>
      <c r="RPT39" s="6"/>
      <c r="RPU39" s="6"/>
      <c r="RPV39" s="6"/>
      <c r="RPW39" s="6"/>
      <c r="RPX39" s="6"/>
      <c r="RPY39" s="6"/>
      <c r="RPZ39" s="6"/>
      <c r="RQA39" s="6"/>
      <c r="RQB39" s="6"/>
      <c r="RQC39" s="6"/>
      <c r="RQD39" s="6"/>
      <c r="RQE39" s="6"/>
      <c r="RQF39" s="6"/>
      <c r="RQG39" s="6"/>
      <c r="RQH39" s="6"/>
      <c r="RQI39" s="6"/>
      <c r="RQJ39" s="6"/>
      <c r="RQK39" s="6"/>
      <c r="RQL39" s="6"/>
      <c r="RQM39" s="6"/>
      <c r="RQN39" s="6"/>
      <c r="RQO39" s="6"/>
      <c r="RQP39" s="6"/>
      <c r="RQQ39" s="6"/>
      <c r="RQR39" s="6"/>
      <c r="RQS39" s="6"/>
      <c r="RQT39" s="6"/>
      <c r="RQU39" s="6"/>
      <c r="RQV39" s="6"/>
      <c r="RQW39" s="6"/>
      <c r="RQX39" s="6"/>
      <c r="RQY39" s="6"/>
      <c r="RQZ39" s="6"/>
      <c r="RRA39" s="6"/>
      <c r="RRB39" s="6"/>
      <c r="RRC39" s="6"/>
      <c r="RRD39" s="6"/>
      <c r="RRE39" s="6"/>
      <c r="RRF39" s="6"/>
      <c r="RRG39" s="6"/>
      <c r="RRH39" s="6"/>
      <c r="RRI39" s="6"/>
      <c r="RRJ39" s="6"/>
      <c r="RRK39" s="6"/>
      <c r="RRL39" s="6"/>
      <c r="RRM39" s="6"/>
      <c r="RRN39" s="6"/>
      <c r="RRO39" s="6"/>
      <c r="RRP39" s="6"/>
      <c r="RRQ39" s="6"/>
      <c r="RRR39" s="6"/>
      <c r="RRS39" s="6"/>
      <c r="RRT39" s="6"/>
      <c r="RRU39" s="6"/>
      <c r="RRV39" s="6"/>
      <c r="RRW39" s="6"/>
      <c r="RRX39" s="6"/>
      <c r="RRY39" s="6"/>
      <c r="RRZ39" s="6"/>
      <c r="RSA39" s="6"/>
      <c r="RSB39" s="6"/>
      <c r="RSC39" s="6"/>
      <c r="RSD39" s="6"/>
      <c r="RSE39" s="6"/>
      <c r="RSF39" s="6"/>
      <c r="RSG39" s="6"/>
      <c r="RSH39" s="6"/>
      <c r="RSI39" s="6"/>
      <c r="RSJ39" s="6"/>
      <c r="RSK39" s="6"/>
      <c r="RSL39" s="6"/>
      <c r="RSM39" s="6"/>
      <c r="RSN39" s="6"/>
      <c r="RSO39" s="6"/>
      <c r="RSP39" s="6"/>
      <c r="RSQ39" s="6"/>
      <c r="RSR39" s="6"/>
      <c r="RSS39" s="6"/>
      <c r="RST39" s="6"/>
      <c r="RSU39" s="6"/>
      <c r="RSV39" s="6"/>
      <c r="RSW39" s="6"/>
      <c r="RSX39" s="6"/>
      <c r="RSY39" s="6"/>
      <c r="RSZ39" s="6"/>
      <c r="RTA39" s="6"/>
      <c r="RTB39" s="6"/>
      <c r="RTC39" s="6"/>
      <c r="RTD39" s="6"/>
      <c r="RTE39" s="6"/>
      <c r="RTF39" s="6"/>
      <c r="RTG39" s="6"/>
      <c r="RTH39" s="6"/>
      <c r="RTI39" s="6"/>
      <c r="RTJ39" s="6"/>
      <c r="RTK39" s="6"/>
      <c r="RTL39" s="6"/>
      <c r="RTM39" s="6"/>
      <c r="RTN39" s="6"/>
      <c r="RTO39" s="6"/>
      <c r="RTP39" s="6"/>
      <c r="RTQ39" s="6"/>
      <c r="RTR39" s="6"/>
      <c r="RTS39" s="6"/>
      <c r="RTT39" s="6"/>
      <c r="RTU39" s="6"/>
      <c r="RTV39" s="6"/>
      <c r="RTW39" s="6"/>
      <c r="RTX39" s="6"/>
      <c r="RTY39" s="6"/>
      <c r="RTZ39" s="6"/>
      <c r="RUA39" s="6"/>
      <c r="RUB39" s="6"/>
      <c r="RUC39" s="6"/>
      <c r="RUD39" s="6"/>
      <c r="RUE39" s="6"/>
      <c r="RUF39" s="6"/>
      <c r="RUG39" s="6"/>
      <c r="RUH39" s="6"/>
      <c r="RUI39" s="6"/>
      <c r="RUJ39" s="6"/>
      <c r="RUK39" s="6"/>
      <c r="RUL39" s="6"/>
      <c r="RUM39" s="6"/>
      <c r="RUN39" s="6"/>
      <c r="RUO39" s="6"/>
      <c r="RUP39" s="6"/>
      <c r="RUQ39" s="6"/>
      <c r="RUR39" s="6"/>
      <c r="RUS39" s="6"/>
      <c r="RUT39" s="6"/>
      <c r="RUU39" s="6"/>
      <c r="RUV39" s="6"/>
      <c r="RUW39" s="6"/>
      <c r="RUX39" s="6"/>
      <c r="RUY39" s="6"/>
      <c r="RUZ39" s="6"/>
      <c r="RVA39" s="6"/>
      <c r="RVB39" s="6"/>
      <c r="RVC39" s="6"/>
      <c r="RVD39" s="6"/>
      <c r="RVE39" s="6"/>
      <c r="RVF39" s="6"/>
      <c r="RVG39" s="6"/>
      <c r="RVH39" s="6"/>
      <c r="RVI39" s="6"/>
      <c r="RVJ39" s="6"/>
      <c r="RVK39" s="6"/>
      <c r="RVL39" s="6"/>
      <c r="RVM39" s="6"/>
      <c r="RVN39" s="6"/>
      <c r="RVO39" s="6"/>
      <c r="RVP39" s="6"/>
      <c r="RVQ39" s="6"/>
      <c r="RVR39" s="6"/>
      <c r="RVS39" s="6"/>
      <c r="RVT39" s="6"/>
      <c r="RVU39" s="6"/>
      <c r="RVV39" s="6"/>
      <c r="RVW39" s="6"/>
      <c r="RVX39" s="6"/>
      <c r="RVY39" s="6"/>
      <c r="RVZ39" s="6"/>
      <c r="RWA39" s="6"/>
      <c r="RWB39" s="6"/>
      <c r="RWC39" s="6"/>
      <c r="RWD39" s="6"/>
      <c r="RWE39" s="6"/>
      <c r="RWF39" s="6"/>
      <c r="RWG39" s="6"/>
      <c r="RWH39" s="6"/>
      <c r="RWI39" s="6"/>
      <c r="RWJ39" s="6"/>
      <c r="RWK39" s="6"/>
      <c r="RWL39" s="6"/>
      <c r="RWM39" s="6"/>
      <c r="RWN39" s="6"/>
      <c r="RWO39" s="6"/>
      <c r="RWP39" s="6"/>
      <c r="RWQ39" s="6"/>
      <c r="RWR39" s="6"/>
      <c r="RWS39" s="6"/>
      <c r="RWT39" s="6"/>
      <c r="RWU39" s="6"/>
      <c r="RWV39" s="6"/>
      <c r="RWW39" s="6"/>
      <c r="RWX39" s="6"/>
      <c r="RWY39" s="6"/>
      <c r="RWZ39" s="6"/>
      <c r="RXA39" s="6"/>
      <c r="RXB39" s="6"/>
      <c r="RXC39" s="6"/>
      <c r="RXD39" s="6"/>
      <c r="RXE39" s="6"/>
      <c r="RXF39" s="6"/>
      <c r="RXG39" s="6"/>
      <c r="RXH39" s="6"/>
      <c r="RXI39" s="6"/>
      <c r="RXJ39" s="6"/>
      <c r="RXK39" s="6"/>
      <c r="RXL39" s="6"/>
      <c r="RXM39" s="6"/>
      <c r="RXN39" s="6"/>
      <c r="RXO39" s="6"/>
      <c r="RXP39" s="6"/>
      <c r="RXQ39" s="6"/>
      <c r="RXR39" s="6"/>
      <c r="RXS39" s="6"/>
      <c r="RXT39" s="6"/>
      <c r="RXU39" s="6"/>
      <c r="RXV39" s="6"/>
      <c r="RXW39" s="6"/>
      <c r="RXX39" s="6"/>
      <c r="RXY39" s="6"/>
      <c r="RXZ39" s="6"/>
      <c r="RYA39" s="6"/>
      <c r="RYB39" s="6"/>
      <c r="RYC39" s="6"/>
      <c r="RYD39" s="6"/>
      <c r="RYE39" s="6"/>
      <c r="RYF39" s="6"/>
      <c r="RYG39" s="6"/>
      <c r="RYH39" s="6"/>
      <c r="RYI39" s="6"/>
      <c r="RYJ39" s="6"/>
      <c r="RYK39" s="6"/>
      <c r="RYL39" s="6"/>
      <c r="RYM39" s="6"/>
      <c r="RYN39" s="6"/>
      <c r="RYO39" s="6"/>
      <c r="RYP39" s="6"/>
      <c r="RYQ39" s="6"/>
      <c r="RYR39" s="6"/>
      <c r="RYS39" s="6"/>
      <c r="RYT39" s="6"/>
      <c r="RYU39" s="6"/>
      <c r="RYV39" s="6"/>
      <c r="RYW39" s="6"/>
      <c r="RYX39" s="6"/>
      <c r="RYY39" s="6"/>
      <c r="RYZ39" s="6"/>
      <c r="RZA39" s="6"/>
      <c r="RZB39" s="6"/>
      <c r="RZC39" s="6"/>
      <c r="RZD39" s="6"/>
      <c r="RZE39" s="6"/>
      <c r="RZF39" s="6"/>
      <c r="RZG39" s="6"/>
      <c r="RZH39" s="6"/>
      <c r="RZI39" s="6"/>
      <c r="RZJ39" s="6"/>
      <c r="RZK39" s="6"/>
      <c r="RZL39" s="6"/>
      <c r="RZM39" s="6"/>
      <c r="RZN39" s="6"/>
      <c r="RZO39" s="6"/>
      <c r="RZP39" s="6"/>
      <c r="RZQ39" s="6"/>
      <c r="RZR39" s="6"/>
      <c r="RZS39" s="6"/>
      <c r="RZT39" s="6"/>
      <c r="RZU39" s="6"/>
      <c r="RZV39" s="6"/>
      <c r="RZW39" s="6"/>
      <c r="RZX39" s="6"/>
      <c r="RZY39" s="6"/>
      <c r="RZZ39" s="6"/>
      <c r="SAA39" s="6"/>
      <c r="SAB39" s="6"/>
      <c r="SAC39" s="6"/>
      <c r="SAD39" s="6"/>
      <c r="SAE39" s="6"/>
      <c r="SAF39" s="6"/>
      <c r="SAG39" s="6"/>
      <c r="SAH39" s="6"/>
      <c r="SAI39" s="6"/>
      <c r="SAJ39" s="6"/>
      <c r="SAK39" s="6"/>
      <c r="SAL39" s="6"/>
      <c r="SAM39" s="6"/>
      <c r="SAN39" s="6"/>
      <c r="SAO39" s="6"/>
      <c r="SAP39" s="6"/>
      <c r="SAQ39" s="6"/>
      <c r="SAR39" s="6"/>
      <c r="SAS39" s="6"/>
      <c r="SAT39" s="6"/>
      <c r="SAU39" s="6"/>
      <c r="SAV39" s="6"/>
      <c r="SAW39" s="6"/>
      <c r="SAX39" s="6"/>
      <c r="SAY39" s="6"/>
      <c r="SAZ39" s="6"/>
      <c r="SBA39" s="6"/>
      <c r="SBB39" s="6"/>
      <c r="SBC39" s="6"/>
      <c r="SBD39" s="6"/>
      <c r="SBE39" s="6"/>
      <c r="SBF39" s="6"/>
      <c r="SBG39" s="6"/>
      <c r="SBH39" s="6"/>
      <c r="SBI39" s="6"/>
      <c r="SBJ39" s="6"/>
      <c r="SBK39" s="6"/>
      <c r="SBL39" s="6"/>
      <c r="SBM39" s="6"/>
      <c r="SBN39" s="6"/>
      <c r="SBO39" s="6"/>
      <c r="SBP39" s="6"/>
      <c r="SBQ39" s="6"/>
      <c r="SBR39" s="6"/>
      <c r="SBS39" s="6"/>
      <c r="SBT39" s="6"/>
      <c r="SBU39" s="6"/>
      <c r="SBV39" s="6"/>
      <c r="SBW39" s="6"/>
      <c r="SBX39" s="6"/>
      <c r="SBY39" s="6"/>
      <c r="SBZ39" s="6"/>
      <c r="SCA39" s="6"/>
      <c r="SCB39" s="6"/>
      <c r="SCC39" s="6"/>
      <c r="SCD39" s="6"/>
      <c r="SCE39" s="6"/>
      <c r="SCF39" s="6"/>
      <c r="SCG39" s="6"/>
      <c r="SCH39" s="6"/>
      <c r="SCI39" s="6"/>
      <c r="SCJ39" s="6"/>
      <c r="SCK39" s="6"/>
      <c r="SCL39" s="6"/>
      <c r="SCM39" s="6"/>
      <c r="SCN39" s="6"/>
      <c r="SCO39" s="6"/>
      <c r="SCP39" s="6"/>
      <c r="SCQ39" s="6"/>
      <c r="SCR39" s="6"/>
      <c r="SCS39" s="6"/>
      <c r="SCT39" s="6"/>
      <c r="SCU39" s="6"/>
      <c r="SCV39" s="6"/>
      <c r="SCW39" s="6"/>
      <c r="SCX39" s="6"/>
      <c r="SCY39" s="6"/>
      <c r="SCZ39" s="6"/>
      <c r="SDA39" s="6"/>
      <c r="SDB39" s="6"/>
      <c r="SDC39" s="6"/>
      <c r="SDD39" s="6"/>
      <c r="SDE39" s="6"/>
      <c r="SDF39" s="6"/>
      <c r="SDG39" s="6"/>
      <c r="SDH39" s="6"/>
      <c r="SDI39" s="6"/>
      <c r="SDJ39" s="6"/>
      <c r="SDK39" s="6"/>
      <c r="SDL39" s="6"/>
      <c r="SDM39" s="6"/>
      <c r="SDN39" s="6"/>
      <c r="SDO39" s="6"/>
      <c r="SDP39" s="6"/>
      <c r="SDQ39" s="6"/>
      <c r="SDR39" s="6"/>
      <c r="SDS39" s="6"/>
      <c r="SDT39" s="6"/>
      <c r="SDU39" s="6"/>
      <c r="SDV39" s="6"/>
      <c r="SDW39" s="6"/>
      <c r="SDX39" s="6"/>
      <c r="SDY39" s="6"/>
      <c r="SDZ39" s="6"/>
      <c r="SEA39" s="6"/>
      <c r="SEB39" s="6"/>
      <c r="SEC39" s="6"/>
      <c r="SED39" s="6"/>
      <c r="SEE39" s="6"/>
      <c r="SEF39" s="6"/>
      <c r="SEG39" s="6"/>
      <c r="SEH39" s="6"/>
      <c r="SEI39" s="6"/>
      <c r="SEJ39" s="6"/>
      <c r="SEK39" s="6"/>
      <c r="SEL39" s="6"/>
      <c r="SEM39" s="6"/>
      <c r="SEN39" s="6"/>
      <c r="SEO39" s="6"/>
      <c r="SEP39" s="6"/>
      <c r="SEQ39" s="6"/>
      <c r="SER39" s="6"/>
      <c r="SES39" s="6"/>
      <c r="SET39" s="6"/>
      <c r="SEU39" s="6"/>
      <c r="SEV39" s="6"/>
      <c r="SEW39" s="6"/>
      <c r="SEX39" s="6"/>
      <c r="SEY39" s="6"/>
      <c r="SEZ39" s="6"/>
      <c r="SFA39" s="6"/>
      <c r="SFB39" s="6"/>
      <c r="SFC39" s="6"/>
      <c r="SFD39" s="6"/>
      <c r="SFE39" s="6"/>
      <c r="SFF39" s="6"/>
      <c r="SFG39" s="6"/>
      <c r="SFH39" s="6"/>
      <c r="SFI39" s="6"/>
      <c r="SFJ39" s="6"/>
      <c r="SFK39" s="6"/>
      <c r="SFL39" s="6"/>
      <c r="SFM39" s="6"/>
      <c r="SFN39" s="6"/>
      <c r="SFO39" s="6"/>
      <c r="SFP39" s="6"/>
      <c r="SFQ39" s="6"/>
      <c r="SFR39" s="6"/>
      <c r="SFS39" s="6"/>
      <c r="SFT39" s="6"/>
      <c r="SFU39" s="6"/>
      <c r="SFV39" s="6"/>
      <c r="SFW39" s="6"/>
      <c r="SFX39" s="6"/>
      <c r="SFY39" s="6"/>
      <c r="SFZ39" s="6"/>
      <c r="SGA39" s="6"/>
      <c r="SGB39" s="6"/>
      <c r="SGC39" s="6"/>
      <c r="SGD39" s="6"/>
      <c r="SGE39" s="6"/>
      <c r="SGF39" s="6"/>
      <c r="SGG39" s="6"/>
      <c r="SGH39" s="6"/>
      <c r="SGI39" s="6"/>
      <c r="SGJ39" s="6"/>
      <c r="SGK39" s="6"/>
      <c r="SGL39" s="6"/>
      <c r="SGM39" s="6"/>
      <c r="SGN39" s="6"/>
      <c r="SGO39" s="6"/>
      <c r="SGP39" s="6"/>
      <c r="SGQ39" s="6"/>
      <c r="SGR39" s="6"/>
      <c r="SGS39" s="6"/>
      <c r="SGT39" s="6"/>
      <c r="SGU39" s="6"/>
      <c r="SGV39" s="6"/>
      <c r="SGW39" s="6"/>
      <c r="SGX39" s="6"/>
      <c r="SGY39" s="6"/>
      <c r="SGZ39" s="6"/>
      <c r="SHA39" s="6"/>
      <c r="SHB39" s="6"/>
      <c r="SHC39" s="6"/>
      <c r="SHD39" s="6"/>
      <c r="SHE39" s="6"/>
      <c r="SHF39" s="6"/>
      <c r="SHG39" s="6"/>
      <c r="SHH39" s="6"/>
      <c r="SHI39" s="6"/>
      <c r="SHJ39" s="6"/>
      <c r="SHK39" s="6"/>
      <c r="SHL39" s="6"/>
      <c r="SHM39" s="6"/>
      <c r="SHN39" s="6"/>
      <c r="SHO39" s="6"/>
      <c r="SHP39" s="6"/>
      <c r="SHQ39" s="6"/>
      <c r="SHR39" s="6"/>
      <c r="SHS39" s="6"/>
      <c r="SHT39" s="6"/>
      <c r="SHU39" s="6"/>
      <c r="SHV39" s="6"/>
      <c r="SHW39" s="6"/>
      <c r="SHX39" s="6"/>
      <c r="SHY39" s="6"/>
      <c r="SHZ39" s="6"/>
      <c r="SIA39" s="6"/>
      <c r="SIB39" s="6"/>
      <c r="SIC39" s="6"/>
      <c r="SID39" s="6"/>
      <c r="SIE39" s="6"/>
      <c r="SIF39" s="6"/>
      <c r="SIG39" s="6"/>
      <c r="SIH39" s="6"/>
      <c r="SII39" s="6"/>
      <c r="SIJ39" s="6"/>
      <c r="SIK39" s="6"/>
      <c r="SIL39" s="6"/>
      <c r="SIM39" s="6"/>
      <c r="SIN39" s="6"/>
      <c r="SIO39" s="6"/>
      <c r="SIP39" s="6"/>
      <c r="SIQ39" s="6"/>
      <c r="SIR39" s="6"/>
      <c r="SIS39" s="6"/>
      <c r="SIT39" s="6"/>
      <c r="SIU39" s="6"/>
      <c r="SIV39" s="6"/>
      <c r="SIW39" s="6"/>
      <c r="SIX39" s="6"/>
      <c r="SIY39" s="6"/>
      <c r="SIZ39" s="6"/>
      <c r="SJA39" s="6"/>
      <c r="SJB39" s="6"/>
      <c r="SJC39" s="6"/>
      <c r="SJD39" s="6"/>
      <c r="SJE39" s="6"/>
      <c r="SJF39" s="6"/>
      <c r="SJG39" s="6"/>
      <c r="SJH39" s="6"/>
      <c r="SJI39" s="6"/>
      <c r="SJJ39" s="6"/>
      <c r="SJK39" s="6"/>
      <c r="SJL39" s="6"/>
      <c r="SJM39" s="6"/>
      <c r="SJN39" s="6"/>
      <c r="SJO39" s="6"/>
      <c r="SJP39" s="6"/>
      <c r="SJQ39" s="6"/>
      <c r="SJR39" s="6"/>
      <c r="SJS39" s="6"/>
      <c r="SJT39" s="6"/>
      <c r="SJU39" s="6"/>
      <c r="SJV39" s="6"/>
      <c r="SJW39" s="6"/>
      <c r="SJX39" s="6"/>
      <c r="SJY39" s="6"/>
      <c r="SJZ39" s="6"/>
      <c r="SKA39" s="6"/>
      <c r="SKB39" s="6"/>
      <c r="SKC39" s="6"/>
      <c r="SKD39" s="6"/>
      <c r="SKE39" s="6"/>
      <c r="SKF39" s="6"/>
      <c r="SKG39" s="6"/>
      <c r="SKH39" s="6"/>
      <c r="SKI39" s="6"/>
      <c r="SKJ39" s="6"/>
      <c r="SKK39" s="6"/>
      <c r="SKL39" s="6"/>
      <c r="SKM39" s="6"/>
      <c r="SKN39" s="6"/>
      <c r="SKO39" s="6"/>
      <c r="SKP39" s="6"/>
      <c r="SKQ39" s="6"/>
      <c r="SKR39" s="6"/>
      <c r="SKS39" s="6"/>
      <c r="SKT39" s="6"/>
      <c r="SKU39" s="6"/>
      <c r="SKV39" s="6"/>
      <c r="SKW39" s="6"/>
      <c r="SKX39" s="6"/>
      <c r="SKY39" s="6"/>
      <c r="SKZ39" s="6"/>
      <c r="SLA39" s="6"/>
      <c r="SLB39" s="6"/>
      <c r="SLC39" s="6"/>
      <c r="SLD39" s="6"/>
      <c r="SLE39" s="6"/>
      <c r="SLF39" s="6"/>
      <c r="SLG39" s="6"/>
      <c r="SLH39" s="6"/>
      <c r="SLI39" s="6"/>
      <c r="SLJ39" s="6"/>
      <c r="SLK39" s="6"/>
      <c r="SLL39" s="6"/>
      <c r="SLM39" s="6"/>
      <c r="SLN39" s="6"/>
      <c r="SLO39" s="6"/>
      <c r="SLP39" s="6"/>
      <c r="SLQ39" s="6"/>
      <c r="SLR39" s="6"/>
      <c r="SLS39" s="6"/>
      <c r="SLT39" s="6"/>
      <c r="SLU39" s="6"/>
      <c r="SLV39" s="6"/>
      <c r="SLW39" s="6"/>
      <c r="SLX39" s="6"/>
      <c r="SLY39" s="6"/>
      <c r="SLZ39" s="6"/>
      <c r="SMA39" s="6"/>
      <c r="SMB39" s="6"/>
      <c r="SMC39" s="6"/>
      <c r="SMD39" s="6"/>
      <c r="SME39" s="6"/>
      <c r="SMF39" s="6"/>
      <c r="SMG39" s="6"/>
      <c r="SMH39" s="6"/>
      <c r="SMI39" s="6"/>
      <c r="SMJ39" s="6"/>
      <c r="SMK39" s="6"/>
      <c r="SML39" s="6"/>
      <c r="SMM39" s="6"/>
      <c r="SMN39" s="6"/>
      <c r="SMO39" s="6"/>
      <c r="SMP39" s="6"/>
      <c r="SMQ39" s="6"/>
      <c r="SMR39" s="6"/>
      <c r="SMS39" s="6"/>
      <c r="SMT39" s="6"/>
      <c r="SMU39" s="6"/>
      <c r="SMV39" s="6"/>
      <c r="SMW39" s="6"/>
      <c r="SMX39" s="6"/>
      <c r="SMY39" s="6"/>
      <c r="SMZ39" s="6"/>
      <c r="SNA39" s="6"/>
      <c r="SNB39" s="6"/>
      <c r="SNC39" s="6"/>
      <c r="SND39" s="6"/>
      <c r="SNE39" s="6"/>
      <c r="SNF39" s="6"/>
      <c r="SNG39" s="6"/>
      <c r="SNH39" s="6"/>
      <c r="SNI39" s="6"/>
      <c r="SNJ39" s="6"/>
      <c r="SNK39" s="6"/>
      <c r="SNL39" s="6"/>
      <c r="SNM39" s="6"/>
      <c r="SNN39" s="6"/>
      <c r="SNO39" s="6"/>
      <c r="SNP39" s="6"/>
      <c r="SNQ39" s="6"/>
      <c r="SNR39" s="6"/>
      <c r="SNS39" s="6"/>
      <c r="SNT39" s="6"/>
      <c r="SNU39" s="6"/>
      <c r="SNV39" s="6"/>
      <c r="SNW39" s="6"/>
      <c r="SNX39" s="6"/>
      <c r="SNY39" s="6"/>
      <c r="SNZ39" s="6"/>
      <c r="SOA39" s="6"/>
      <c r="SOB39" s="6"/>
      <c r="SOC39" s="6"/>
      <c r="SOD39" s="6"/>
      <c r="SOE39" s="6"/>
      <c r="SOF39" s="6"/>
      <c r="SOG39" s="6"/>
      <c r="SOH39" s="6"/>
      <c r="SOI39" s="6"/>
      <c r="SOJ39" s="6"/>
      <c r="SOK39" s="6"/>
      <c r="SOL39" s="6"/>
      <c r="SOM39" s="6"/>
      <c r="SON39" s="6"/>
      <c r="SOO39" s="6"/>
      <c r="SOP39" s="6"/>
      <c r="SOQ39" s="6"/>
      <c r="SOR39" s="6"/>
      <c r="SOS39" s="6"/>
      <c r="SOT39" s="6"/>
      <c r="SOU39" s="6"/>
      <c r="SOV39" s="6"/>
      <c r="SOW39" s="6"/>
      <c r="SOX39" s="6"/>
      <c r="SOY39" s="6"/>
      <c r="SOZ39" s="6"/>
      <c r="SPA39" s="6"/>
      <c r="SPB39" s="6"/>
      <c r="SPC39" s="6"/>
      <c r="SPD39" s="6"/>
      <c r="SPE39" s="6"/>
      <c r="SPF39" s="6"/>
      <c r="SPG39" s="6"/>
      <c r="SPH39" s="6"/>
      <c r="SPI39" s="6"/>
      <c r="SPJ39" s="6"/>
      <c r="SPK39" s="6"/>
      <c r="SPL39" s="6"/>
      <c r="SPM39" s="6"/>
      <c r="SPN39" s="6"/>
      <c r="SPO39" s="6"/>
      <c r="SPP39" s="6"/>
      <c r="SPQ39" s="6"/>
      <c r="SPR39" s="6"/>
      <c r="SPS39" s="6"/>
      <c r="SPT39" s="6"/>
      <c r="SPU39" s="6"/>
      <c r="SPV39" s="6"/>
      <c r="SPW39" s="6"/>
      <c r="SPX39" s="6"/>
      <c r="SPY39" s="6"/>
      <c r="SPZ39" s="6"/>
      <c r="SQA39" s="6"/>
      <c r="SQB39" s="6"/>
      <c r="SQC39" s="6"/>
      <c r="SQD39" s="6"/>
      <c r="SQE39" s="6"/>
      <c r="SQF39" s="6"/>
      <c r="SQG39" s="6"/>
      <c r="SQH39" s="6"/>
      <c r="SQI39" s="6"/>
      <c r="SQJ39" s="6"/>
      <c r="SQK39" s="6"/>
      <c r="SQL39" s="6"/>
      <c r="SQM39" s="6"/>
      <c r="SQN39" s="6"/>
      <c r="SQO39" s="6"/>
      <c r="SQP39" s="6"/>
      <c r="SQQ39" s="6"/>
      <c r="SQR39" s="6"/>
      <c r="SQS39" s="6"/>
      <c r="SQT39" s="6"/>
      <c r="SQU39" s="6"/>
      <c r="SQV39" s="6"/>
      <c r="SQW39" s="6"/>
      <c r="SQX39" s="6"/>
      <c r="SQY39" s="6"/>
      <c r="SQZ39" s="6"/>
      <c r="SRA39" s="6"/>
      <c r="SRB39" s="6"/>
      <c r="SRC39" s="6"/>
      <c r="SRD39" s="6"/>
      <c r="SRE39" s="6"/>
      <c r="SRF39" s="6"/>
      <c r="SRG39" s="6"/>
      <c r="SRH39" s="6"/>
      <c r="SRI39" s="6"/>
      <c r="SRJ39" s="6"/>
      <c r="SRK39" s="6"/>
      <c r="SRL39" s="6"/>
      <c r="SRM39" s="6"/>
      <c r="SRN39" s="6"/>
      <c r="SRO39" s="6"/>
      <c r="SRP39" s="6"/>
      <c r="SRQ39" s="6"/>
      <c r="SRR39" s="6"/>
      <c r="SRS39" s="6"/>
      <c r="SRT39" s="6"/>
      <c r="SRU39" s="6"/>
      <c r="SRV39" s="6"/>
      <c r="SRW39" s="6"/>
      <c r="SRX39" s="6"/>
      <c r="SRY39" s="6"/>
      <c r="SRZ39" s="6"/>
      <c r="SSA39" s="6"/>
      <c r="SSB39" s="6"/>
      <c r="SSC39" s="6"/>
      <c r="SSD39" s="6"/>
      <c r="SSE39" s="6"/>
      <c r="SSF39" s="6"/>
      <c r="SSG39" s="6"/>
      <c r="SSH39" s="6"/>
      <c r="SSI39" s="6"/>
      <c r="SSJ39" s="6"/>
      <c r="SSK39" s="6"/>
      <c r="SSL39" s="6"/>
      <c r="SSM39" s="6"/>
      <c r="SSN39" s="6"/>
      <c r="SSO39" s="6"/>
      <c r="SSP39" s="6"/>
      <c r="SSQ39" s="6"/>
      <c r="SSR39" s="6"/>
      <c r="SSS39" s="6"/>
      <c r="SST39" s="6"/>
      <c r="SSU39" s="6"/>
      <c r="SSV39" s="6"/>
      <c r="SSW39" s="6"/>
      <c r="SSX39" s="6"/>
      <c r="SSY39" s="6"/>
      <c r="SSZ39" s="6"/>
      <c r="STA39" s="6"/>
      <c r="STB39" s="6"/>
      <c r="STC39" s="6"/>
      <c r="STD39" s="6"/>
      <c r="STE39" s="6"/>
      <c r="STF39" s="6"/>
      <c r="STG39" s="6"/>
      <c r="STH39" s="6"/>
      <c r="STI39" s="6"/>
      <c r="STJ39" s="6"/>
      <c r="STK39" s="6"/>
      <c r="STL39" s="6"/>
      <c r="STM39" s="6"/>
      <c r="STN39" s="6"/>
      <c r="STO39" s="6"/>
      <c r="STP39" s="6"/>
      <c r="STQ39" s="6"/>
      <c r="STR39" s="6"/>
      <c r="STS39" s="6"/>
      <c r="STT39" s="6"/>
      <c r="STU39" s="6"/>
      <c r="STV39" s="6"/>
      <c r="STW39" s="6"/>
      <c r="STX39" s="6"/>
      <c r="STY39" s="6"/>
      <c r="STZ39" s="6"/>
      <c r="SUA39" s="6"/>
      <c r="SUB39" s="6"/>
      <c r="SUC39" s="6"/>
      <c r="SUD39" s="6"/>
      <c r="SUE39" s="6"/>
      <c r="SUF39" s="6"/>
      <c r="SUG39" s="6"/>
      <c r="SUH39" s="6"/>
      <c r="SUI39" s="6"/>
      <c r="SUJ39" s="6"/>
      <c r="SUK39" s="6"/>
      <c r="SUL39" s="6"/>
      <c r="SUM39" s="6"/>
      <c r="SUN39" s="6"/>
      <c r="SUO39" s="6"/>
      <c r="SUP39" s="6"/>
      <c r="SUQ39" s="6"/>
      <c r="SUR39" s="6"/>
      <c r="SUS39" s="6"/>
      <c r="SUT39" s="6"/>
      <c r="SUU39" s="6"/>
      <c r="SUV39" s="6"/>
      <c r="SUW39" s="6"/>
      <c r="SUX39" s="6"/>
      <c r="SUY39" s="6"/>
      <c r="SUZ39" s="6"/>
      <c r="SVA39" s="6"/>
      <c r="SVB39" s="6"/>
      <c r="SVC39" s="6"/>
      <c r="SVD39" s="6"/>
      <c r="SVE39" s="6"/>
      <c r="SVF39" s="6"/>
      <c r="SVG39" s="6"/>
      <c r="SVH39" s="6"/>
      <c r="SVI39" s="6"/>
      <c r="SVJ39" s="6"/>
      <c r="SVK39" s="6"/>
      <c r="SVL39" s="6"/>
      <c r="SVM39" s="6"/>
      <c r="SVN39" s="6"/>
      <c r="SVO39" s="6"/>
      <c r="SVP39" s="6"/>
      <c r="SVQ39" s="6"/>
      <c r="SVR39" s="6"/>
      <c r="SVS39" s="6"/>
      <c r="SVT39" s="6"/>
      <c r="SVU39" s="6"/>
      <c r="SVV39" s="6"/>
      <c r="SVW39" s="6"/>
      <c r="SVX39" s="6"/>
      <c r="SVY39" s="6"/>
      <c r="SVZ39" s="6"/>
      <c r="SWA39" s="6"/>
      <c r="SWB39" s="6"/>
      <c r="SWC39" s="6"/>
      <c r="SWD39" s="6"/>
      <c r="SWE39" s="6"/>
      <c r="SWF39" s="6"/>
      <c r="SWG39" s="6"/>
      <c r="SWH39" s="6"/>
      <c r="SWI39" s="6"/>
      <c r="SWJ39" s="6"/>
      <c r="SWK39" s="6"/>
      <c r="SWL39" s="6"/>
      <c r="SWM39" s="6"/>
      <c r="SWN39" s="6"/>
      <c r="SWO39" s="6"/>
      <c r="SWP39" s="6"/>
      <c r="SWQ39" s="6"/>
      <c r="SWR39" s="6"/>
      <c r="SWS39" s="6"/>
      <c r="SWT39" s="6"/>
      <c r="SWU39" s="6"/>
      <c r="SWV39" s="6"/>
      <c r="SWW39" s="6"/>
      <c r="SWX39" s="6"/>
      <c r="SWY39" s="6"/>
      <c r="SWZ39" s="6"/>
      <c r="SXA39" s="6"/>
      <c r="SXB39" s="6"/>
      <c r="SXC39" s="6"/>
      <c r="SXD39" s="6"/>
      <c r="SXE39" s="6"/>
      <c r="SXF39" s="6"/>
      <c r="SXG39" s="6"/>
      <c r="SXH39" s="6"/>
      <c r="SXI39" s="6"/>
      <c r="SXJ39" s="6"/>
      <c r="SXK39" s="6"/>
      <c r="SXL39" s="6"/>
      <c r="SXM39" s="6"/>
      <c r="SXN39" s="6"/>
      <c r="SXO39" s="6"/>
      <c r="SXP39" s="6"/>
      <c r="SXQ39" s="6"/>
      <c r="SXR39" s="6"/>
      <c r="SXS39" s="6"/>
      <c r="SXT39" s="6"/>
      <c r="SXU39" s="6"/>
      <c r="SXV39" s="6"/>
      <c r="SXW39" s="6"/>
      <c r="SXX39" s="6"/>
      <c r="SXY39" s="6"/>
      <c r="SXZ39" s="6"/>
      <c r="SYA39" s="6"/>
      <c r="SYB39" s="6"/>
      <c r="SYC39" s="6"/>
      <c r="SYD39" s="6"/>
      <c r="SYE39" s="6"/>
      <c r="SYF39" s="6"/>
      <c r="SYG39" s="6"/>
      <c r="SYH39" s="6"/>
      <c r="SYI39" s="6"/>
      <c r="SYJ39" s="6"/>
      <c r="SYK39" s="6"/>
      <c r="SYL39" s="6"/>
      <c r="SYM39" s="6"/>
      <c r="SYN39" s="6"/>
      <c r="SYO39" s="6"/>
      <c r="SYP39" s="6"/>
      <c r="SYQ39" s="6"/>
      <c r="SYR39" s="6"/>
      <c r="SYS39" s="6"/>
      <c r="SYT39" s="6"/>
      <c r="SYU39" s="6"/>
      <c r="SYV39" s="6"/>
      <c r="SYW39" s="6"/>
      <c r="SYX39" s="6"/>
      <c r="SYY39" s="6"/>
      <c r="SYZ39" s="6"/>
      <c r="SZA39" s="6"/>
      <c r="SZB39" s="6"/>
      <c r="SZC39" s="6"/>
      <c r="SZD39" s="6"/>
      <c r="SZE39" s="6"/>
      <c r="SZF39" s="6"/>
      <c r="SZG39" s="6"/>
      <c r="SZH39" s="6"/>
      <c r="SZI39" s="6"/>
      <c r="SZJ39" s="6"/>
      <c r="SZK39" s="6"/>
      <c r="SZL39" s="6"/>
      <c r="SZM39" s="6"/>
      <c r="SZN39" s="6"/>
      <c r="SZO39" s="6"/>
      <c r="SZP39" s="6"/>
      <c r="SZQ39" s="6"/>
      <c r="SZR39" s="6"/>
      <c r="SZS39" s="6"/>
      <c r="SZT39" s="6"/>
      <c r="SZU39" s="6"/>
      <c r="SZV39" s="6"/>
      <c r="SZW39" s="6"/>
      <c r="SZX39" s="6"/>
      <c r="SZY39" s="6"/>
      <c r="SZZ39" s="6"/>
      <c r="TAA39" s="6"/>
      <c r="TAB39" s="6"/>
      <c r="TAC39" s="6"/>
      <c r="TAD39" s="6"/>
      <c r="TAE39" s="6"/>
      <c r="TAF39" s="6"/>
      <c r="TAG39" s="6"/>
      <c r="TAH39" s="6"/>
      <c r="TAI39" s="6"/>
      <c r="TAJ39" s="6"/>
      <c r="TAK39" s="6"/>
      <c r="TAL39" s="6"/>
      <c r="TAM39" s="6"/>
      <c r="TAN39" s="6"/>
      <c r="TAO39" s="6"/>
      <c r="TAP39" s="6"/>
      <c r="TAQ39" s="6"/>
      <c r="TAR39" s="6"/>
      <c r="TAS39" s="6"/>
      <c r="TAT39" s="6"/>
      <c r="TAU39" s="6"/>
      <c r="TAV39" s="6"/>
      <c r="TAW39" s="6"/>
      <c r="TAX39" s="6"/>
      <c r="TAY39" s="6"/>
      <c r="TAZ39" s="6"/>
      <c r="TBA39" s="6"/>
      <c r="TBB39" s="6"/>
      <c r="TBC39" s="6"/>
      <c r="TBD39" s="6"/>
      <c r="TBE39" s="6"/>
      <c r="TBF39" s="6"/>
      <c r="TBG39" s="6"/>
      <c r="TBH39" s="6"/>
      <c r="TBI39" s="6"/>
      <c r="TBJ39" s="6"/>
      <c r="TBK39" s="6"/>
      <c r="TBL39" s="6"/>
      <c r="TBM39" s="6"/>
      <c r="TBN39" s="6"/>
      <c r="TBO39" s="6"/>
      <c r="TBP39" s="6"/>
      <c r="TBQ39" s="6"/>
      <c r="TBR39" s="6"/>
      <c r="TBS39" s="6"/>
      <c r="TBT39" s="6"/>
      <c r="TBU39" s="6"/>
      <c r="TBV39" s="6"/>
      <c r="TBW39" s="6"/>
      <c r="TBX39" s="6"/>
      <c r="TBY39" s="6"/>
      <c r="TBZ39" s="6"/>
      <c r="TCA39" s="6"/>
      <c r="TCB39" s="6"/>
      <c r="TCC39" s="6"/>
      <c r="TCD39" s="6"/>
      <c r="TCE39" s="6"/>
      <c r="TCF39" s="6"/>
      <c r="TCG39" s="6"/>
      <c r="TCH39" s="6"/>
      <c r="TCI39" s="6"/>
      <c r="TCJ39" s="6"/>
      <c r="TCK39" s="6"/>
      <c r="TCL39" s="6"/>
      <c r="TCM39" s="6"/>
      <c r="TCN39" s="6"/>
      <c r="TCO39" s="6"/>
      <c r="TCP39" s="6"/>
      <c r="TCQ39" s="6"/>
      <c r="TCR39" s="6"/>
      <c r="TCS39" s="6"/>
      <c r="TCT39" s="6"/>
      <c r="TCU39" s="6"/>
      <c r="TCV39" s="6"/>
      <c r="TCW39" s="6"/>
      <c r="TCX39" s="6"/>
      <c r="TCY39" s="6"/>
      <c r="TCZ39" s="6"/>
      <c r="TDA39" s="6"/>
      <c r="TDB39" s="6"/>
      <c r="TDC39" s="6"/>
      <c r="TDD39" s="6"/>
      <c r="TDE39" s="6"/>
      <c r="TDF39" s="6"/>
      <c r="TDG39" s="6"/>
      <c r="TDH39" s="6"/>
      <c r="TDI39" s="6"/>
      <c r="TDJ39" s="6"/>
      <c r="TDK39" s="6"/>
      <c r="TDL39" s="6"/>
      <c r="TDM39" s="6"/>
      <c r="TDN39" s="6"/>
      <c r="TDO39" s="6"/>
      <c r="TDP39" s="6"/>
      <c r="TDQ39" s="6"/>
      <c r="TDR39" s="6"/>
      <c r="TDS39" s="6"/>
      <c r="TDT39" s="6"/>
      <c r="TDU39" s="6"/>
      <c r="TDV39" s="6"/>
      <c r="TDW39" s="6"/>
      <c r="TDX39" s="6"/>
      <c r="TDY39" s="6"/>
      <c r="TDZ39" s="6"/>
      <c r="TEA39" s="6"/>
      <c r="TEB39" s="6"/>
      <c r="TEC39" s="6"/>
      <c r="TED39" s="6"/>
      <c r="TEE39" s="6"/>
      <c r="TEF39" s="6"/>
      <c r="TEG39" s="6"/>
      <c r="TEH39" s="6"/>
      <c r="TEI39" s="6"/>
      <c r="TEJ39" s="6"/>
      <c r="TEK39" s="6"/>
      <c r="TEL39" s="6"/>
      <c r="TEM39" s="6"/>
      <c r="TEN39" s="6"/>
      <c r="TEO39" s="6"/>
      <c r="TEP39" s="6"/>
      <c r="TEQ39" s="6"/>
      <c r="TER39" s="6"/>
      <c r="TES39" s="6"/>
      <c r="TET39" s="6"/>
      <c r="TEU39" s="6"/>
      <c r="TEV39" s="6"/>
      <c r="TEW39" s="6"/>
      <c r="TEX39" s="6"/>
      <c r="TEY39" s="6"/>
      <c r="TEZ39" s="6"/>
      <c r="TFA39" s="6"/>
      <c r="TFB39" s="6"/>
      <c r="TFC39" s="6"/>
      <c r="TFD39" s="6"/>
      <c r="TFE39" s="6"/>
      <c r="TFF39" s="6"/>
      <c r="TFG39" s="6"/>
      <c r="TFH39" s="6"/>
      <c r="TFI39" s="6"/>
      <c r="TFJ39" s="6"/>
      <c r="TFK39" s="6"/>
      <c r="TFL39" s="6"/>
      <c r="TFM39" s="6"/>
      <c r="TFN39" s="6"/>
      <c r="TFO39" s="6"/>
      <c r="TFP39" s="6"/>
      <c r="TFQ39" s="6"/>
      <c r="TFR39" s="6"/>
      <c r="TFS39" s="6"/>
      <c r="TFT39" s="6"/>
      <c r="TFU39" s="6"/>
      <c r="TFV39" s="6"/>
      <c r="TFW39" s="6"/>
      <c r="TFX39" s="6"/>
      <c r="TFY39" s="6"/>
      <c r="TFZ39" s="6"/>
      <c r="TGA39" s="6"/>
      <c r="TGB39" s="6"/>
      <c r="TGC39" s="6"/>
      <c r="TGD39" s="6"/>
      <c r="TGE39" s="6"/>
      <c r="TGF39" s="6"/>
      <c r="TGG39" s="6"/>
      <c r="TGH39" s="6"/>
      <c r="TGI39" s="6"/>
      <c r="TGJ39" s="6"/>
      <c r="TGK39" s="6"/>
      <c r="TGL39" s="6"/>
      <c r="TGM39" s="6"/>
      <c r="TGN39" s="6"/>
      <c r="TGO39" s="6"/>
      <c r="TGP39" s="6"/>
      <c r="TGQ39" s="6"/>
      <c r="TGR39" s="6"/>
      <c r="TGS39" s="6"/>
      <c r="TGT39" s="6"/>
      <c r="TGU39" s="6"/>
      <c r="TGV39" s="6"/>
      <c r="TGW39" s="6"/>
      <c r="TGX39" s="6"/>
      <c r="TGY39" s="6"/>
      <c r="TGZ39" s="6"/>
      <c r="THA39" s="6"/>
      <c r="THB39" s="6"/>
      <c r="THC39" s="6"/>
      <c r="THD39" s="6"/>
      <c r="THE39" s="6"/>
      <c r="THF39" s="6"/>
      <c r="THG39" s="6"/>
      <c r="THH39" s="6"/>
      <c r="THI39" s="6"/>
      <c r="THJ39" s="6"/>
      <c r="THK39" s="6"/>
      <c r="THL39" s="6"/>
      <c r="THM39" s="6"/>
      <c r="THN39" s="6"/>
      <c r="THO39" s="6"/>
      <c r="THP39" s="6"/>
      <c r="THQ39" s="6"/>
      <c r="THR39" s="6"/>
      <c r="THS39" s="6"/>
      <c r="THT39" s="6"/>
      <c r="THU39" s="6"/>
      <c r="THV39" s="6"/>
      <c r="THW39" s="6"/>
      <c r="THX39" s="6"/>
      <c r="THY39" s="6"/>
      <c r="THZ39" s="6"/>
      <c r="TIA39" s="6"/>
      <c r="TIB39" s="6"/>
      <c r="TIC39" s="6"/>
      <c r="TID39" s="6"/>
      <c r="TIE39" s="6"/>
      <c r="TIF39" s="6"/>
      <c r="TIG39" s="6"/>
      <c r="TIH39" s="6"/>
      <c r="TII39" s="6"/>
      <c r="TIJ39" s="6"/>
      <c r="TIK39" s="6"/>
      <c r="TIL39" s="6"/>
      <c r="TIM39" s="6"/>
      <c r="TIN39" s="6"/>
      <c r="TIO39" s="6"/>
      <c r="TIP39" s="6"/>
      <c r="TIQ39" s="6"/>
      <c r="TIR39" s="6"/>
      <c r="TIS39" s="6"/>
      <c r="TIT39" s="6"/>
      <c r="TIU39" s="6"/>
      <c r="TIV39" s="6"/>
      <c r="TIW39" s="6"/>
      <c r="TIX39" s="6"/>
      <c r="TIY39" s="6"/>
      <c r="TIZ39" s="6"/>
      <c r="TJA39" s="6"/>
      <c r="TJB39" s="6"/>
      <c r="TJC39" s="6"/>
      <c r="TJD39" s="6"/>
      <c r="TJE39" s="6"/>
      <c r="TJF39" s="6"/>
      <c r="TJG39" s="6"/>
      <c r="TJH39" s="6"/>
      <c r="TJI39" s="6"/>
      <c r="TJJ39" s="6"/>
      <c r="TJK39" s="6"/>
      <c r="TJL39" s="6"/>
      <c r="TJM39" s="6"/>
      <c r="TJN39" s="6"/>
      <c r="TJO39" s="6"/>
      <c r="TJP39" s="6"/>
      <c r="TJQ39" s="6"/>
      <c r="TJR39" s="6"/>
      <c r="TJS39" s="6"/>
      <c r="TJT39" s="6"/>
      <c r="TJU39" s="6"/>
      <c r="TJV39" s="6"/>
      <c r="TJW39" s="6"/>
      <c r="TJX39" s="6"/>
      <c r="TJY39" s="6"/>
      <c r="TJZ39" s="6"/>
      <c r="TKA39" s="6"/>
      <c r="TKB39" s="6"/>
      <c r="TKC39" s="6"/>
      <c r="TKD39" s="6"/>
      <c r="TKE39" s="6"/>
      <c r="TKF39" s="6"/>
      <c r="TKG39" s="6"/>
      <c r="TKH39" s="6"/>
      <c r="TKI39" s="6"/>
      <c r="TKJ39" s="6"/>
      <c r="TKK39" s="6"/>
      <c r="TKL39" s="6"/>
      <c r="TKM39" s="6"/>
      <c r="TKN39" s="6"/>
      <c r="TKO39" s="6"/>
      <c r="TKP39" s="6"/>
      <c r="TKQ39" s="6"/>
      <c r="TKR39" s="6"/>
      <c r="TKS39" s="6"/>
      <c r="TKT39" s="6"/>
      <c r="TKU39" s="6"/>
      <c r="TKV39" s="6"/>
      <c r="TKW39" s="6"/>
      <c r="TKX39" s="6"/>
      <c r="TKY39" s="6"/>
      <c r="TKZ39" s="6"/>
      <c r="TLA39" s="6"/>
      <c r="TLB39" s="6"/>
      <c r="TLC39" s="6"/>
      <c r="TLD39" s="6"/>
      <c r="TLE39" s="6"/>
      <c r="TLF39" s="6"/>
      <c r="TLG39" s="6"/>
      <c r="TLH39" s="6"/>
      <c r="TLI39" s="6"/>
      <c r="TLJ39" s="6"/>
      <c r="TLK39" s="6"/>
      <c r="TLL39" s="6"/>
      <c r="TLM39" s="6"/>
      <c r="TLN39" s="6"/>
      <c r="TLO39" s="6"/>
      <c r="TLP39" s="6"/>
      <c r="TLQ39" s="6"/>
      <c r="TLR39" s="6"/>
      <c r="TLS39" s="6"/>
      <c r="TLT39" s="6"/>
      <c r="TLU39" s="6"/>
      <c r="TLV39" s="6"/>
      <c r="TLW39" s="6"/>
      <c r="TLX39" s="6"/>
      <c r="TLY39" s="6"/>
      <c r="TLZ39" s="6"/>
      <c r="TMA39" s="6"/>
      <c r="TMB39" s="6"/>
      <c r="TMC39" s="6"/>
      <c r="TMD39" s="6"/>
      <c r="TME39" s="6"/>
      <c r="TMF39" s="6"/>
      <c r="TMG39" s="6"/>
      <c r="TMH39" s="6"/>
      <c r="TMI39" s="6"/>
      <c r="TMJ39" s="6"/>
      <c r="TMK39" s="6"/>
      <c r="TML39" s="6"/>
      <c r="TMM39" s="6"/>
      <c r="TMN39" s="6"/>
      <c r="TMO39" s="6"/>
      <c r="TMP39" s="6"/>
      <c r="TMQ39" s="6"/>
      <c r="TMR39" s="6"/>
      <c r="TMS39" s="6"/>
      <c r="TMT39" s="6"/>
      <c r="TMU39" s="6"/>
      <c r="TMV39" s="6"/>
      <c r="TMW39" s="6"/>
      <c r="TMX39" s="6"/>
      <c r="TMY39" s="6"/>
      <c r="TMZ39" s="6"/>
      <c r="TNA39" s="6"/>
      <c r="TNB39" s="6"/>
      <c r="TNC39" s="6"/>
      <c r="TND39" s="6"/>
      <c r="TNE39" s="6"/>
      <c r="TNF39" s="6"/>
      <c r="TNG39" s="6"/>
      <c r="TNH39" s="6"/>
      <c r="TNI39" s="6"/>
      <c r="TNJ39" s="6"/>
      <c r="TNK39" s="6"/>
      <c r="TNL39" s="6"/>
      <c r="TNM39" s="6"/>
      <c r="TNN39" s="6"/>
      <c r="TNO39" s="6"/>
      <c r="TNP39" s="6"/>
      <c r="TNQ39" s="6"/>
      <c r="TNR39" s="6"/>
      <c r="TNS39" s="6"/>
      <c r="TNT39" s="6"/>
      <c r="TNU39" s="6"/>
      <c r="TNV39" s="6"/>
      <c r="TNW39" s="6"/>
      <c r="TNX39" s="6"/>
      <c r="TNY39" s="6"/>
      <c r="TNZ39" s="6"/>
      <c r="TOA39" s="6"/>
      <c r="TOB39" s="6"/>
      <c r="TOC39" s="6"/>
      <c r="TOD39" s="6"/>
      <c r="TOE39" s="6"/>
      <c r="TOF39" s="6"/>
      <c r="TOG39" s="6"/>
      <c r="TOH39" s="6"/>
      <c r="TOI39" s="6"/>
      <c r="TOJ39" s="6"/>
      <c r="TOK39" s="6"/>
      <c r="TOL39" s="6"/>
      <c r="TOM39" s="6"/>
      <c r="TON39" s="6"/>
      <c r="TOO39" s="6"/>
      <c r="TOP39" s="6"/>
      <c r="TOQ39" s="6"/>
      <c r="TOR39" s="6"/>
      <c r="TOS39" s="6"/>
      <c r="TOT39" s="6"/>
      <c r="TOU39" s="6"/>
      <c r="TOV39" s="6"/>
      <c r="TOW39" s="6"/>
      <c r="TOX39" s="6"/>
      <c r="TOY39" s="6"/>
      <c r="TOZ39" s="6"/>
      <c r="TPA39" s="6"/>
      <c r="TPB39" s="6"/>
      <c r="TPC39" s="6"/>
      <c r="TPD39" s="6"/>
      <c r="TPE39" s="6"/>
      <c r="TPF39" s="6"/>
      <c r="TPG39" s="6"/>
      <c r="TPH39" s="6"/>
      <c r="TPI39" s="6"/>
      <c r="TPJ39" s="6"/>
      <c r="TPK39" s="6"/>
      <c r="TPL39" s="6"/>
      <c r="TPM39" s="6"/>
      <c r="TPN39" s="6"/>
      <c r="TPO39" s="6"/>
      <c r="TPP39" s="6"/>
      <c r="TPQ39" s="6"/>
      <c r="TPR39" s="6"/>
      <c r="TPS39" s="6"/>
      <c r="TPT39" s="6"/>
      <c r="TPU39" s="6"/>
      <c r="TPV39" s="6"/>
      <c r="TPW39" s="6"/>
      <c r="TPX39" s="6"/>
      <c r="TPY39" s="6"/>
      <c r="TPZ39" s="6"/>
      <c r="TQA39" s="6"/>
      <c r="TQB39" s="6"/>
      <c r="TQC39" s="6"/>
      <c r="TQD39" s="6"/>
      <c r="TQE39" s="6"/>
      <c r="TQF39" s="6"/>
      <c r="TQG39" s="6"/>
      <c r="TQH39" s="6"/>
      <c r="TQI39" s="6"/>
      <c r="TQJ39" s="6"/>
      <c r="TQK39" s="6"/>
      <c r="TQL39" s="6"/>
      <c r="TQM39" s="6"/>
      <c r="TQN39" s="6"/>
      <c r="TQO39" s="6"/>
      <c r="TQP39" s="6"/>
      <c r="TQQ39" s="6"/>
      <c r="TQR39" s="6"/>
      <c r="TQS39" s="6"/>
      <c r="TQT39" s="6"/>
      <c r="TQU39" s="6"/>
      <c r="TQV39" s="6"/>
      <c r="TQW39" s="6"/>
      <c r="TQX39" s="6"/>
      <c r="TQY39" s="6"/>
      <c r="TQZ39" s="6"/>
      <c r="TRA39" s="6"/>
      <c r="TRB39" s="6"/>
      <c r="TRC39" s="6"/>
      <c r="TRD39" s="6"/>
      <c r="TRE39" s="6"/>
      <c r="TRF39" s="6"/>
      <c r="TRG39" s="6"/>
      <c r="TRH39" s="6"/>
      <c r="TRI39" s="6"/>
      <c r="TRJ39" s="6"/>
      <c r="TRK39" s="6"/>
      <c r="TRL39" s="6"/>
      <c r="TRM39" s="6"/>
      <c r="TRN39" s="6"/>
      <c r="TRO39" s="6"/>
      <c r="TRP39" s="6"/>
      <c r="TRQ39" s="6"/>
      <c r="TRR39" s="6"/>
      <c r="TRS39" s="6"/>
      <c r="TRT39" s="6"/>
      <c r="TRU39" s="6"/>
      <c r="TRV39" s="6"/>
      <c r="TRW39" s="6"/>
      <c r="TRX39" s="6"/>
      <c r="TRY39" s="6"/>
      <c r="TRZ39" s="6"/>
      <c r="TSA39" s="6"/>
      <c r="TSB39" s="6"/>
      <c r="TSC39" s="6"/>
      <c r="TSD39" s="6"/>
      <c r="TSE39" s="6"/>
      <c r="TSF39" s="6"/>
      <c r="TSG39" s="6"/>
      <c r="TSH39" s="6"/>
      <c r="TSI39" s="6"/>
      <c r="TSJ39" s="6"/>
      <c r="TSK39" s="6"/>
      <c r="TSL39" s="6"/>
      <c r="TSM39" s="6"/>
      <c r="TSN39" s="6"/>
      <c r="TSO39" s="6"/>
      <c r="TSP39" s="6"/>
      <c r="TSQ39" s="6"/>
      <c r="TSR39" s="6"/>
      <c r="TSS39" s="6"/>
      <c r="TST39" s="6"/>
      <c r="TSU39" s="6"/>
      <c r="TSV39" s="6"/>
      <c r="TSW39" s="6"/>
      <c r="TSX39" s="6"/>
      <c r="TSY39" s="6"/>
      <c r="TSZ39" s="6"/>
      <c r="TTA39" s="6"/>
      <c r="TTB39" s="6"/>
      <c r="TTC39" s="6"/>
      <c r="TTD39" s="6"/>
      <c r="TTE39" s="6"/>
      <c r="TTF39" s="6"/>
      <c r="TTG39" s="6"/>
      <c r="TTH39" s="6"/>
      <c r="TTI39" s="6"/>
      <c r="TTJ39" s="6"/>
      <c r="TTK39" s="6"/>
      <c r="TTL39" s="6"/>
      <c r="TTM39" s="6"/>
      <c r="TTN39" s="6"/>
      <c r="TTO39" s="6"/>
      <c r="TTP39" s="6"/>
      <c r="TTQ39" s="6"/>
      <c r="TTR39" s="6"/>
      <c r="TTS39" s="6"/>
      <c r="TTT39" s="6"/>
      <c r="TTU39" s="6"/>
      <c r="TTV39" s="6"/>
      <c r="TTW39" s="6"/>
      <c r="TTX39" s="6"/>
      <c r="TTY39" s="6"/>
      <c r="TTZ39" s="6"/>
      <c r="TUA39" s="6"/>
      <c r="TUB39" s="6"/>
      <c r="TUC39" s="6"/>
      <c r="TUD39" s="6"/>
      <c r="TUE39" s="6"/>
      <c r="TUF39" s="6"/>
      <c r="TUG39" s="6"/>
      <c r="TUH39" s="6"/>
      <c r="TUI39" s="6"/>
      <c r="TUJ39" s="6"/>
      <c r="TUK39" s="6"/>
      <c r="TUL39" s="6"/>
      <c r="TUM39" s="6"/>
      <c r="TUN39" s="6"/>
      <c r="TUO39" s="6"/>
      <c r="TUP39" s="6"/>
      <c r="TUQ39" s="6"/>
      <c r="TUR39" s="6"/>
      <c r="TUS39" s="6"/>
      <c r="TUT39" s="6"/>
      <c r="TUU39" s="6"/>
      <c r="TUV39" s="6"/>
      <c r="TUW39" s="6"/>
      <c r="TUX39" s="6"/>
      <c r="TUY39" s="6"/>
      <c r="TUZ39" s="6"/>
      <c r="TVA39" s="6"/>
      <c r="TVB39" s="6"/>
      <c r="TVC39" s="6"/>
      <c r="TVD39" s="6"/>
      <c r="TVE39" s="6"/>
      <c r="TVF39" s="6"/>
      <c r="TVG39" s="6"/>
      <c r="TVH39" s="6"/>
      <c r="TVI39" s="6"/>
      <c r="TVJ39" s="6"/>
      <c r="TVK39" s="6"/>
      <c r="TVL39" s="6"/>
      <c r="TVM39" s="6"/>
      <c r="TVN39" s="6"/>
      <c r="TVO39" s="6"/>
      <c r="TVP39" s="6"/>
      <c r="TVQ39" s="6"/>
      <c r="TVR39" s="6"/>
      <c r="TVS39" s="6"/>
      <c r="TVT39" s="6"/>
      <c r="TVU39" s="6"/>
      <c r="TVV39" s="6"/>
      <c r="TVW39" s="6"/>
      <c r="TVX39" s="6"/>
      <c r="TVY39" s="6"/>
      <c r="TVZ39" s="6"/>
      <c r="TWA39" s="6"/>
      <c r="TWB39" s="6"/>
      <c r="TWC39" s="6"/>
      <c r="TWD39" s="6"/>
      <c r="TWE39" s="6"/>
      <c r="TWF39" s="6"/>
      <c r="TWG39" s="6"/>
      <c r="TWH39" s="6"/>
      <c r="TWI39" s="6"/>
      <c r="TWJ39" s="6"/>
      <c r="TWK39" s="6"/>
      <c r="TWL39" s="6"/>
      <c r="TWM39" s="6"/>
      <c r="TWN39" s="6"/>
      <c r="TWO39" s="6"/>
      <c r="TWP39" s="6"/>
      <c r="TWQ39" s="6"/>
      <c r="TWR39" s="6"/>
      <c r="TWS39" s="6"/>
      <c r="TWT39" s="6"/>
      <c r="TWU39" s="6"/>
      <c r="TWV39" s="6"/>
      <c r="TWW39" s="6"/>
      <c r="TWX39" s="6"/>
      <c r="TWY39" s="6"/>
      <c r="TWZ39" s="6"/>
      <c r="TXA39" s="6"/>
      <c r="TXB39" s="6"/>
      <c r="TXC39" s="6"/>
      <c r="TXD39" s="6"/>
      <c r="TXE39" s="6"/>
      <c r="TXF39" s="6"/>
      <c r="TXG39" s="6"/>
      <c r="TXH39" s="6"/>
      <c r="TXI39" s="6"/>
      <c r="TXJ39" s="6"/>
      <c r="TXK39" s="6"/>
      <c r="TXL39" s="6"/>
      <c r="TXM39" s="6"/>
      <c r="TXN39" s="6"/>
      <c r="TXO39" s="6"/>
      <c r="TXP39" s="6"/>
      <c r="TXQ39" s="6"/>
      <c r="TXR39" s="6"/>
      <c r="TXS39" s="6"/>
      <c r="TXT39" s="6"/>
      <c r="TXU39" s="6"/>
      <c r="TXV39" s="6"/>
      <c r="TXW39" s="6"/>
      <c r="TXX39" s="6"/>
      <c r="TXY39" s="6"/>
      <c r="TXZ39" s="6"/>
      <c r="TYA39" s="6"/>
      <c r="TYB39" s="6"/>
      <c r="TYC39" s="6"/>
      <c r="TYD39" s="6"/>
      <c r="TYE39" s="6"/>
      <c r="TYF39" s="6"/>
      <c r="TYG39" s="6"/>
      <c r="TYH39" s="6"/>
      <c r="TYI39" s="6"/>
      <c r="TYJ39" s="6"/>
      <c r="TYK39" s="6"/>
      <c r="TYL39" s="6"/>
      <c r="TYM39" s="6"/>
      <c r="TYN39" s="6"/>
      <c r="TYO39" s="6"/>
      <c r="TYP39" s="6"/>
      <c r="TYQ39" s="6"/>
      <c r="TYR39" s="6"/>
      <c r="TYS39" s="6"/>
      <c r="TYT39" s="6"/>
      <c r="TYU39" s="6"/>
      <c r="TYV39" s="6"/>
      <c r="TYW39" s="6"/>
      <c r="TYX39" s="6"/>
      <c r="TYY39" s="6"/>
      <c r="TYZ39" s="6"/>
      <c r="TZA39" s="6"/>
      <c r="TZB39" s="6"/>
      <c r="TZC39" s="6"/>
      <c r="TZD39" s="6"/>
      <c r="TZE39" s="6"/>
      <c r="TZF39" s="6"/>
      <c r="TZG39" s="6"/>
      <c r="TZH39" s="6"/>
      <c r="TZI39" s="6"/>
      <c r="TZJ39" s="6"/>
      <c r="TZK39" s="6"/>
      <c r="TZL39" s="6"/>
      <c r="TZM39" s="6"/>
      <c r="TZN39" s="6"/>
      <c r="TZO39" s="6"/>
      <c r="TZP39" s="6"/>
      <c r="TZQ39" s="6"/>
      <c r="TZR39" s="6"/>
      <c r="TZS39" s="6"/>
      <c r="TZT39" s="6"/>
      <c r="TZU39" s="6"/>
      <c r="TZV39" s="6"/>
      <c r="TZW39" s="6"/>
      <c r="TZX39" s="6"/>
      <c r="TZY39" s="6"/>
      <c r="TZZ39" s="6"/>
      <c r="UAA39" s="6"/>
      <c r="UAB39" s="6"/>
      <c r="UAC39" s="6"/>
      <c r="UAD39" s="6"/>
      <c r="UAE39" s="6"/>
      <c r="UAF39" s="6"/>
      <c r="UAG39" s="6"/>
      <c r="UAH39" s="6"/>
      <c r="UAI39" s="6"/>
      <c r="UAJ39" s="6"/>
      <c r="UAK39" s="6"/>
      <c r="UAL39" s="6"/>
      <c r="UAM39" s="6"/>
      <c r="UAN39" s="6"/>
      <c r="UAO39" s="6"/>
      <c r="UAP39" s="6"/>
      <c r="UAQ39" s="6"/>
      <c r="UAR39" s="6"/>
      <c r="UAS39" s="6"/>
      <c r="UAT39" s="6"/>
      <c r="UAU39" s="6"/>
      <c r="UAV39" s="6"/>
      <c r="UAW39" s="6"/>
      <c r="UAX39" s="6"/>
      <c r="UAY39" s="6"/>
      <c r="UAZ39" s="6"/>
      <c r="UBA39" s="6"/>
      <c r="UBB39" s="6"/>
      <c r="UBC39" s="6"/>
      <c r="UBD39" s="6"/>
      <c r="UBE39" s="6"/>
      <c r="UBF39" s="6"/>
      <c r="UBG39" s="6"/>
      <c r="UBH39" s="6"/>
      <c r="UBI39" s="6"/>
      <c r="UBJ39" s="6"/>
      <c r="UBK39" s="6"/>
      <c r="UBL39" s="6"/>
      <c r="UBM39" s="6"/>
      <c r="UBN39" s="6"/>
      <c r="UBO39" s="6"/>
      <c r="UBP39" s="6"/>
      <c r="UBQ39" s="6"/>
      <c r="UBR39" s="6"/>
      <c r="UBS39" s="6"/>
      <c r="UBT39" s="6"/>
      <c r="UBU39" s="6"/>
      <c r="UBV39" s="6"/>
      <c r="UBW39" s="6"/>
      <c r="UBX39" s="6"/>
      <c r="UBY39" s="6"/>
      <c r="UBZ39" s="6"/>
      <c r="UCA39" s="6"/>
      <c r="UCB39" s="6"/>
      <c r="UCC39" s="6"/>
      <c r="UCD39" s="6"/>
      <c r="UCE39" s="6"/>
      <c r="UCF39" s="6"/>
      <c r="UCG39" s="6"/>
      <c r="UCH39" s="6"/>
      <c r="UCI39" s="6"/>
      <c r="UCJ39" s="6"/>
      <c r="UCK39" s="6"/>
      <c r="UCL39" s="6"/>
      <c r="UCM39" s="6"/>
      <c r="UCN39" s="6"/>
      <c r="UCO39" s="6"/>
      <c r="UCP39" s="6"/>
      <c r="UCQ39" s="6"/>
      <c r="UCR39" s="6"/>
      <c r="UCS39" s="6"/>
      <c r="UCT39" s="6"/>
      <c r="UCU39" s="6"/>
      <c r="UCV39" s="6"/>
      <c r="UCW39" s="6"/>
      <c r="UCX39" s="6"/>
      <c r="UCY39" s="6"/>
      <c r="UCZ39" s="6"/>
      <c r="UDA39" s="6"/>
      <c r="UDB39" s="6"/>
      <c r="UDC39" s="6"/>
      <c r="UDD39" s="6"/>
      <c r="UDE39" s="6"/>
      <c r="UDF39" s="6"/>
      <c r="UDG39" s="6"/>
      <c r="UDH39" s="6"/>
      <c r="UDI39" s="6"/>
      <c r="UDJ39" s="6"/>
      <c r="UDK39" s="6"/>
      <c r="UDL39" s="6"/>
      <c r="UDM39" s="6"/>
      <c r="UDN39" s="6"/>
      <c r="UDO39" s="6"/>
      <c r="UDP39" s="6"/>
      <c r="UDQ39" s="6"/>
      <c r="UDR39" s="6"/>
      <c r="UDS39" s="6"/>
      <c r="UDT39" s="6"/>
      <c r="UDU39" s="6"/>
      <c r="UDV39" s="6"/>
      <c r="UDW39" s="6"/>
      <c r="UDX39" s="6"/>
      <c r="UDY39" s="6"/>
      <c r="UDZ39" s="6"/>
      <c r="UEA39" s="6"/>
      <c r="UEB39" s="6"/>
      <c r="UEC39" s="6"/>
      <c r="UED39" s="6"/>
      <c r="UEE39" s="6"/>
      <c r="UEF39" s="6"/>
      <c r="UEG39" s="6"/>
      <c r="UEH39" s="6"/>
      <c r="UEI39" s="6"/>
      <c r="UEJ39" s="6"/>
      <c r="UEK39" s="6"/>
      <c r="UEL39" s="6"/>
      <c r="UEM39" s="6"/>
      <c r="UEN39" s="6"/>
      <c r="UEO39" s="6"/>
      <c r="UEP39" s="6"/>
      <c r="UEQ39" s="6"/>
      <c r="UER39" s="6"/>
      <c r="UES39" s="6"/>
      <c r="UET39" s="6"/>
      <c r="UEU39" s="6"/>
      <c r="UEV39" s="6"/>
      <c r="UEW39" s="6"/>
      <c r="UEX39" s="6"/>
      <c r="UEY39" s="6"/>
      <c r="UEZ39" s="6"/>
      <c r="UFA39" s="6"/>
      <c r="UFB39" s="6"/>
      <c r="UFC39" s="6"/>
      <c r="UFD39" s="6"/>
      <c r="UFE39" s="6"/>
      <c r="UFF39" s="6"/>
      <c r="UFG39" s="6"/>
      <c r="UFH39" s="6"/>
      <c r="UFI39" s="6"/>
      <c r="UFJ39" s="6"/>
      <c r="UFK39" s="6"/>
      <c r="UFL39" s="6"/>
      <c r="UFM39" s="6"/>
      <c r="UFN39" s="6"/>
      <c r="UFO39" s="6"/>
      <c r="UFP39" s="6"/>
      <c r="UFQ39" s="6"/>
      <c r="UFR39" s="6"/>
      <c r="UFS39" s="6"/>
      <c r="UFT39" s="6"/>
      <c r="UFU39" s="6"/>
      <c r="UFV39" s="6"/>
      <c r="UFW39" s="6"/>
      <c r="UFX39" s="6"/>
      <c r="UFY39" s="6"/>
      <c r="UFZ39" s="6"/>
      <c r="UGA39" s="6"/>
      <c r="UGB39" s="6"/>
      <c r="UGC39" s="6"/>
      <c r="UGD39" s="6"/>
      <c r="UGE39" s="6"/>
      <c r="UGF39" s="6"/>
      <c r="UGG39" s="6"/>
      <c r="UGH39" s="6"/>
      <c r="UGI39" s="6"/>
      <c r="UGJ39" s="6"/>
      <c r="UGK39" s="6"/>
      <c r="UGL39" s="6"/>
      <c r="UGM39" s="6"/>
      <c r="UGN39" s="6"/>
      <c r="UGO39" s="6"/>
      <c r="UGP39" s="6"/>
      <c r="UGQ39" s="6"/>
      <c r="UGR39" s="6"/>
      <c r="UGS39" s="6"/>
      <c r="UGT39" s="6"/>
      <c r="UGU39" s="6"/>
      <c r="UGV39" s="6"/>
      <c r="UGW39" s="6"/>
      <c r="UGX39" s="6"/>
      <c r="UGY39" s="6"/>
      <c r="UGZ39" s="6"/>
      <c r="UHA39" s="6"/>
      <c r="UHB39" s="6"/>
      <c r="UHC39" s="6"/>
      <c r="UHD39" s="6"/>
      <c r="UHE39" s="6"/>
      <c r="UHF39" s="6"/>
      <c r="UHG39" s="6"/>
      <c r="UHH39" s="6"/>
      <c r="UHI39" s="6"/>
      <c r="UHJ39" s="6"/>
      <c r="UHK39" s="6"/>
      <c r="UHL39" s="6"/>
      <c r="UHM39" s="6"/>
      <c r="UHN39" s="6"/>
      <c r="UHO39" s="6"/>
      <c r="UHP39" s="6"/>
      <c r="UHQ39" s="6"/>
      <c r="UHR39" s="6"/>
      <c r="UHS39" s="6"/>
      <c r="UHT39" s="6"/>
      <c r="UHU39" s="6"/>
      <c r="UHV39" s="6"/>
      <c r="UHW39" s="6"/>
      <c r="UHX39" s="6"/>
      <c r="UHY39" s="6"/>
      <c r="UHZ39" s="6"/>
      <c r="UIA39" s="6"/>
      <c r="UIB39" s="6"/>
      <c r="UIC39" s="6"/>
      <c r="UID39" s="6"/>
      <c r="UIE39" s="6"/>
      <c r="UIF39" s="6"/>
      <c r="UIG39" s="6"/>
      <c r="UIH39" s="6"/>
      <c r="UII39" s="6"/>
      <c r="UIJ39" s="6"/>
      <c r="UIK39" s="6"/>
      <c r="UIL39" s="6"/>
      <c r="UIM39" s="6"/>
      <c r="UIN39" s="6"/>
      <c r="UIO39" s="6"/>
      <c r="UIP39" s="6"/>
      <c r="UIQ39" s="6"/>
      <c r="UIR39" s="6"/>
      <c r="UIS39" s="6"/>
      <c r="UIT39" s="6"/>
      <c r="UIU39" s="6"/>
      <c r="UIV39" s="6"/>
      <c r="UIW39" s="6"/>
      <c r="UIX39" s="6"/>
      <c r="UIY39" s="6"/>
      <c r="UIZ39" s="6"/>
      <c r="UJA39" s="6"/>
      <c r="UJB39" s="6"/>
      <c r="UJC39" s="6"/>
      <c r="UJD39" s="6"/>
      <c r="UJE39" s="6"/>
      <c r="UJF39" s="6"/>
      <c r="UJG39" s="6"/>
      <c r="UJH39" s="6"/>
      <c r="UJI39" s="6"/>
      <c r="UJJ39" s="6"/>
      <c r="UJK39" s="6"/>
      <c r="UJL39" s="6"/>
      <c r="UJM39" s="6"/>
      <c r="UJN39" s="6"/>
      <c r="UJO39" s="6"/>
      <c r="UJP39" s="6"/>
      <c r="UJQ39" s="6"/>
      <c r="UJR39" s="6"/>
      <c r="UJS39" s="6"/>
      <c r="UJT39" s="6"/>
      <c r="UJU39" s="6"/>
      <c r="UJV39" s="6"/>
      <c r="UJW39" s="6"/>
      <c r="UJX39" s="6"/>
      <c r="UJY39" s="6"/>
      <c r="UJZ39" s="6"/>
      <c r="UKA39" s="6"/>
      <c r="UKB39" s="6"/>
      <c r="UKC39" s="6"/>
      <c r="UKD39" s="6"/>
      <c r="UKE39" s="6"/>
      <c r="UKF39" s="6"/>
      <c r="UKG39" s="6"/>
      <c r="UKH39" s="6"/>
      <c r="UKI39" s="6"/>
      <c r="UKJ39" s="6"/>
      <c r="UKK39" s="6"/>
      <c r="UKL39" s="6"/>
      <c r="UKM39" s="6"/>
      <c r="UKN39" s="6"/>
      <c r="UKO39" s="6"/>
      <c r="UKP39" s="6"/>
      <c r="UKQ39" s="6"/>
      <c r="UKR39" s="6"/>
      <c r="UKS39" s="6"/>
      <c r="UKT39" s="6"/>
      <c r="UKU39" s="6"/>
      <c r="UKV39" s="6"/>
      <c r="UKW39" s="6"/>
      <c r="UKX39" s="6"/>
      <c r="UKY39" s="6"/>
      <c r="UKZ39" s="6"/>
      <c r="ULA39" s="6"/>
      <c r="ULB39" s="6"/>
      <c r="ULC39" s="6"/>
      <c r="ULD39" s="6"/>
      <c r="ULE39" s="6"/>
      <c r="ULF39" s="6"/>
      <c r="ULG39" s="6"/>
      <c r="ULH39" s="6"/>
      <c r="ULI39" s="6"/>
      <c r="ULJ39" s="6"/>
      <c r="ULK39" s="6"/>
      <c r="ULL39" s="6"/>
      <c r="ULM39" s="6"/>
      <c r="ULN39" s="6"/>
      <c r="ULO39" s="6"/>
      <c r="ULP39" s="6"/>
      <c r="ULQ39" s="6"/>
      <c r="ULR39" s="6"/>
      <c r="ULS39" s="6"/>
      <c r="ULT39" s="6"/>
      <c r="ULU39" s="6"/>
      <c r="ULV39" s="6"/>
      <c r="ULW39" s="6"/>
      <c r="ULX39" s="6"/>
      <c r="ULY39" s="6"/>
      <c r="ULZ39" s="6"/>
      <c r="UMA39" s="6"/>
      <c r="UMB39" s="6"/>
      <c r="UMC39" s="6"/>
      <c r="UMD39" s="6"/>
      <c r="UME39" s="6"/>
      <c r="UMF39" s="6"/>
      <c r="UMG39" s="6"/>
      <c r="UMH39" s="6"/>
      <c r="UMI39" s="6"/>
      <c r="UMJ39" s="6"/>
      <c r="UMK39" s="6"/>
      <c r="UML39" s="6"/>
      <c r="UMM39" s="6"/>
      <c r="UMN39" s="6"/>
      <c r="UMO39" s="6"/>
      <c r="UMP39" s="6"/>
      <c r="UMQ39" s="6"/>
      <c r="UMR39" s="6"/>
      <c r="UMS39" s="6"/>
      <c r="UMT39" s="6"/>
      <c r="UMU39" s="6"/>
      <c r="UMV39" s="6"/>
      <c r="UMW39" s="6"/>
      <c r="UMX39" s="6"/>
      <c r="UMY39" s="6"/>
      <c r="UMZ39" s="6"/>
      <c r="UNA39" s="6"/>
      <c r="UNB39" s="6"/>
      <c r="UNC39" s="6"/>
      <c r="UND39" s="6"/>
      <c r="UNE39" s="6"/>
      <c r="UNF39" s="6"/>
      <c r="UNG39" s="6"/>
      <c r="UNH39" s="6"/>
      <c r="UNI39" s="6"/>
      <c r="UNJ39" s="6"/>
      <c r="UNK39" s="6"/>
      <c r="UNL39" s="6"/>
      <c r="UNM39" s="6"/>
      <c r="UNN39" s="6"/>
      <c r="UNO39" s="6"/>
      <c r="UNP39" s="6"/>
      <c r="UNQ39" s="6"/>
      <c r="UNR39" s="6"/>
      <c r="UNS39" s="6"/>
      <c r="UNT39" s="6"/>
      <c r="UNU39" s="6"/>
      <c r="UNV39" s="6"/>
      <c r="UNW39" s="6"/>
      <c r="UNX39" s="6"/>
      <c r="UNY39" s="6"/>
      <c r="UNZ39" s="6"/>
      <c r="UOA39" s="6"/>
      <c r="UOB39" s="6"/>
      <c r="UOC39" s="6"/>
      <c r="UOD39" s="6"/>
      <c r="UOE39" s="6"/>
      <c r="UOF39" s="6"/>
      <c r="UOG39" s="6"/>
      <c r="UOH39" s="6"/>
      <c r="UOI39" s="6"/>
      <c r="UOJ39" s="6"/>
      <c r="UOK39" s="6"/>
      <c r="UOL39" s="6"/>
      <c r="UOM39" s="6"/>
      <c r="UON39" s="6"/>
      <c r="UOO39" s="6"/>
      <c r="UOP39" s="6"/>
      <c r="UOQ39" s="6"/>
      <c r="UOR39" s="6"/>
      <c r="UOS39" s="6"/>
      <c r="UOT39" s="6"/>
      <c r="UOU39" s="6"/>
      <c r="UOV39" s="6"/>
      <c r="UOW39" s="6"/>
      <c r="UOX39" s="6"/>
      <c r="UOY39" s="6"/>
      <c r="UOZ39" s="6"/>
      <c r="UPA39" s="6"/>
      <c r="UPB39" s="6"/>
      <c r="UPC39" s="6"/>
      <c r="UPD39" s="6"/>
      <c r="UPE39" s="6"/>
      <c r="UPF39" s="6"/>
      <c r="UPG39" s="6"/>
      <c r="UPH39" s="6"/>
      <c r="UPI39" s="6"/>
      <c r="UPJ39" s="6"/>
      <c r="UPK39" s="6"/>
      <c r="UPL39" s="6"/>
      <c r="UPM39" s="6"/>
      <c r="UPN39" s="6"/>
      <c r="UPO39" s="6"/>
      <c r="UPP39" s="6"/>
      <c r="UPQ39" s="6"/>
      <c r="UPR39" s="6"/>
      <c r="UPS39" s="6"/>
      <c r="UPT39" s="6"/>
      <c r="UPU39" s="6"/>
      <c r="UPV39" s="6"/>
      <c r="UPW39" s="6"/>
      <c r="UPX39" s="6"/>
      <c r="UPY39" s="6"/>
      <c r="UPZ39" s="6"/>
      <c r="UQA39" s="6"/>
      <c r="UQB39" s="6"/>
      <c r="UQC39" s="6"/>
      <c r="UQD39" s="6"/>
      <c r="UQE39" s="6"/>
      <c r="UQF39" s="6"/>
      <c r="UQG39" s="6"/>
      <c r="UQH39" s="6"/>
      <c r="UQI39" s="6"/>
      <c r="UQJ39" s="6"/>
      <c r="UQK39" s="6"/>
      <c r="UQL39" s="6"/>
      <c r="UQM39" s="6"/>
      <c r="UQN39" s="6"/>
      <c r="UQO39" s="6"/>
      <c r="UQP39" s="6"/>
      <c r="UQQ39" s="6"/>
      <c r="UQR39" s="6"/>
      <c r="UQS39" s="6"/>
      <c r="UQT39" s="6"/>
      <c r="UQU39" s="6"/>
      <c r="UQV39" s="6"/>
      <c r="UQW39" s="6"/>
      <c r="UQX39" s="6"/>
      <c r="UQY39" s="6"/>
      <c r="UQZ39" s="6"/>
      <c r="URA39" s="6"/>
      <c r="URB39" s="6"/>
      <c r="URC39" s="6"/>
      <c r="URD39" s="6"/>
      <c r="URE39" s="6"/>
      <c r="URF39" s="6"/>
      <c r="URG39" s="6"/>
      <c r="URH39" s="6"/>
      <c r="URI39" s="6"/>
      <c r="URJ39" s="6"/>
      <c r="URK39" s="6"/>
      <c r="URL39" s="6"/>
      <c r="URM39" s="6"/>
      <c r="URN39" s="6"/>
      <c r="URO39" s="6"/>
      <c r="URP39" s="6"/>
      <c r="URQ39" s="6"/>
      <c r="URR39" s="6"/>
      <c r="URS39" s="6"/>
      <c r="URT39" s="6"/>
      <c r="URU39" s="6"/>
      <c r="URV39" s="6"/>
      <c r="URW39" s="6"/>
      <c r="URX39" s="6"/>
      <c r="URY39" s="6"/>
      <c r="URZ39" s="6"/>
      <c r="USA39" s="6"/>
      <c r="USB39" s="6"/>
      <c r="USC39" s="6"/>
      <c r="USD39" s="6"/>
      <c r="USE39" s="6"/>
      <c r="USF39" s="6"/>
      <c r="USG39" s="6"/>
      <c r="USH39" s="6"/>
      <c r="USI39" s="6"/>
      <c r="USJ39" s="6"/>
      <c r="USK39" s="6"/>
      <c r="USL39" s="6"/>
      <c r="USM39" s="6"/>
      <c r="USN39" s="6"/>
      <c r="USO39" s="6"/>
      <c r="USP39" s="6"/>
      <c r="USQ39" s="6"/>
      <c r="USR39" s="6"/>
      <c r="USS39" s="6"/>
      <c r="UST39" s="6"/>
      <c r="USU39" s="6"/>
      <c r="USV39" s="6"/>
      <c r="USW39" s="6"/>
      <c r="USX39" s="6"/>
      <c r="USY39" s="6"/>
      <c r="USZ39" s="6"/>
      <c r="UTA39" s="6"/>
      <c r="UTB39" s="6"/>
      <c r="UTC39" s="6"/>
      <c r="UTD39" s="6"/>
      <c r="UTE39" s="6"/>
      <c r="UTF39" s="6"/>
      <c r="UTG39" s="6"/>
      <c r="UTH39" s="6"/>
      <c r="UTI39" s="6"/>
      <c r="UTJ39" s="6"/>
      <c r="UTK39" s="6"/>
      <c r="UTL39" s="6"/>
      <c r="UTM39" s="6"/>
      <c r="UTN39" s="6"/>
      <c r="UTO39" s="6"/>
      <c r="UTP39" s="6"/>
      <c r="UTQ39" s="6"/>
      <c r="UTR39" s="6"/>
      <c r="UTS39" s="6"/>
      <c r="UTT39" s="6"/>
      <c r="UTU39" s="6"/>
      <c r="UTV39" s="6"/>
      <c r="UTW39" s="6"/>
      <c r="UTX39" s="6"/>
      <c r="UTY39" s="6"/>
      <c r="UTZ39" s="6"/>
      <c r="UUA39" s="6"/>
      <c r="UUB39" s="6"/>
      <c r="UUC39" s="6"/>
      <c r="UUD39" s="6"/>
      <c r="UUE39" s="6"/>
      <c r="UUF39" s="6"/>
      <c r="UUG39" s="6"/>
      <c r="UUH39" s="6"/>
      <c r="UUI39" s="6"/>
      <c r="UUJ39" s="6"/>
      <c r="UUK39" s="6"/>
      <c r="UUL39" s="6"/>
      <c r="UUM39" s="6"/>
      <c r="UUN39" s="6"/>
      <c r="UUO39" s="6"/>
      <c r="UUP39" s="6"/>
      <c r="UUQ39" s="6"/>
      <c r="UUR39" s="6"/>
      <c r="UUS39" s="6"/>
      <c r="UUT39" s="6"/>
      <c r="UUU39" s="6"/>
      <c r="UUV39" s="6"/>
      <c r="UUW39" s="6"/>
      <c r="UUX39" s="6"/>
      <c r="UUY39" s="6"/>
      <c r="UUZ39" s="6"/>
      <c r="UVA39" s="6"/>
      <c r="UVB39" s="6"/>
      <c r="UVC39" s="6"/>
      <c r="UVD39" s="6"/>
      <c r="UVE39" s="6"/>
      <c r="UVF39" s="6"/>
      <c r="UVG39" s="6"/>
      <c r="UVH39" s="6"/>
      <c r="UVI39" s="6"/>
      <c r="UVJ39" s="6"/>
      <c r="UVK39" s="6"/>
      <c r="UVL39" s="6"/>
      <c r="UVM39" s="6"/>
      <c r="UVN39" s="6"/>
      <c r="UVO39" s="6"/>
      <c r="UVP39" s="6"/>
      <c r="UVQ39" s="6"/>
      <c r="UVR39" s="6"/>
      <c r="UVS39" s="6"/>
      <c r="UVT39" s="6"/>
      <c r="UVU39" s="6"/>
      <c r="UVV39" s="6"/>
      <c r="UVW39" s="6"/>
      <c r="UVX39" s="6"/>
      <c r="UVY39" s="6"/>
      <c r="UVZ39" s="6"/>
      <c r="UWA39" s="6"/>
      <c r="UWB39" s="6"/>
      <c r="UWC39" s="6"/>
      <c r="UWD39" s="6"/>
      <c r="UWE39" s="6"/>
      <c r="UWF39" s="6"/>
      <c r="UWG39" s="6"/>
      <c r="UWH39" s="6"/>
      <c r="UWI39" s="6"/>
      <c r="UWJ39" s="6"/>
      <c r="UWK39" s="6"/>
      <c r="UWL39" s="6"/>
      <c r="UWM39" s="6"/>
      <c r="UWN39" s="6"/>
      <c r="UWO39" s="6"/>
      <c r="UWP39" s="6"/>
      <c r="UWQ39" s="6"/>
      <c r="UWR39" s="6"/>
      <c r="UWS39" s="6"/>
      <c r="UWT39" s="6"/>
      <c r="UWU39" s="6"/>
      <c r="UWV39" s="6"/>
      <c r="UWW39" s="6"/>
      <c r="UWX39" s="6"/>
      <c r="UWY39" s="6"/>
      <c r="UWZ39" s="6"/>
      <c r="UXA39" s="6"/>
      <c r="UXB39" s="6"/>
      <c r="UXC39" s="6"/>
      <c r="UXD39" s="6"/>
      <c r="UXE39" s="6"/>
      <c r="UXF39" s="6"/>
      <c r="UXG39" s="6"/>
      <c r="UXH39" s="6"/>
      <c r="UXI39" s="6"/>
      <c r="UXJ39" s="6"/>
      <c r="UXK39" s="6"/>
      <c r="UXL39" s="6"/>
      <c r="UXM39" s="6"/>
      <c r="UXN39" s="6"/>
      <c r="UXO39" s="6"/>
      <c r="UXP39" s="6"/>
      <c r="UXQ39" s="6"/>
      <c r="UXR39" s="6"/>
      <c r="UXS39" s="6"/>
      <c r="UXT39" s="6"/>
      <c r="UXU39" s="6"/>
      <c r="UXV39" s="6"/>
      <c r="UXW39" s="6"/>
      <c r="UXX39" s="6"/>
      <c r="UXY39" s="6"/>
      <c r="UXZ39" s="6"/>
      <c r="UYA39" s="6"/>
      <c r="UYB39" s="6"/>
      <c r="UYC39" s="6"/>
      <c r="UYD39" s="6"/>
      <c r="UYE39" s="6"/>
      <c r="UYF39" s="6"/>
      <c r="UYG39" s="6"/>
      <c r="UYH39" s="6"/>
      <c r="UYI39" s="6"/>
      <c r="UYJ39" s="6"/>
      <c r="UYK39" s="6"/>
      <c r="UYL39" s="6"/>
      <c r="UYM39" s="6"/>
      <c r="UYN39" s="6"/>
      <c r="UYO39" s="6"/>
      <c r="UYP39" s="6"/>
      <c r="UYQ39" s="6"/>
      <c r="UYR39" s="6"/>
      <c r="UYS39" s="6"/>
      <c r="UYT39" s="6"/>
      <c r="UYU39" s="6"/>
      <c r="UYV39" s="6"/>
      <c r="UYW39" s="6"/>
      <c r="UYX39" s="6"/>
      <c r="UYY39" s="6"/>
      <c r="UYZ39" s="6"/>
      <c r="UZA39" s="6"/>
      <c r="UZB39" s="6"/>
      <c r="UZC39" s="6"/>
      <c r="UZD39" s="6"/>
      <c r="UZE39" s="6"/>
      <c r="UZF39" s="6"/>
      <c r="UZG39" s="6"/>
      <c r="UZH39" s="6"/>
      <c r="UZI39" s="6"/>
      <c r="UZJ39" s="6"/>
      <c r="UZK39" s="6"/>
      <c r="UZL39" s="6"/>
      <c r="UZM39" s="6"/>
      <c r="UZN39" s="6"/>
      <c r="UZO39" s="6"/>
      <c r="UZP39" s="6"/>
      <c r="UZQ39" s="6"/>
      <c r="UZR39" s="6"/>
      <c r="UZS39" s="6"/>
      <c r="UZT39" s="6"/>
      <c r="UZU39" s="6"/>
      <c r="UZV39" s="6"/>
      <c r="UZW39" s="6"/>
      <c r="UZX39" s="6"/>
      <c r="UZY39" s="6"/>
      <c r="UZZ39" s="6"/>
      <c r="VAA39" s="6"/>
      <c r="VAB39" s="6"/>
      <c r="VAC39" s="6"/>
      <c r="VAD39" s="6"/>
      <c r="VAE39" s="6"/>
      <c r="VAF39" s="6"/>
      <c r="VAG39" s="6"/>
      <c r="VAH39" s="6"/>
      <c r="VAI39" s="6"/>
      <c r="VAJ39" s="6"/>
      <c r="VAK39" s="6"/>
      <c r="VAL39" s="6"/>
      <c r="VAM39" s="6"/>
      <c r="VAN39" s="6"/>
      <c r="VAO39" s="6"/>
      <c r="VAP39" s="6"/>
      <c r="VAQ39" s="6"/>
      <c r="VAR39" s="6"/>
      <c r="VAS39" s="6"/>
      <c r="VAT39" s="6"/>
      <c r="VAU39" s="6"/>
      <c r="VAV39" s="6"/>
      <c r="VAW39" s="6"/>
      <c r="VAX39" s="6"/>
      <c r="VAY39" s="6"/>
      <c r="VAZ39" s="6"/>
      <c r="VBA39" s="6"/>
      <c r="VBB39" s="6"/>
      <c r="VBC39" s="6"/>
      <c r="VBD39" s="6"/>
      <c r="VBE39" s="6"/>
      <c r="VBF39" s="6"/>
      <c r="VBG39" s="6"/>
      <c r="VBH39" s="6"/>
      <c r="VBI39" s="6"/>
      <c r="VBJ39" s="6"/>
      <c r="VBK39" s="6"/>
      <c r="VBL39" s="6"/>
      <c r="VBM39" s="6"/>
      <c r="VBN39" s="6"/>
      <c r="VBO39" s="6"/>
      <c r="VBP39" s="6"/>
      <c r="VBQ39" s="6"/>
      <c r="VBR39" s="6"/>
      <c r="VBS39" s="6"/>
      <c r="VBT39" s="6"/>
      <c r="VBU39" s="6"/>
      <c r="VBV39" s="6"/>
      <c r="VBW39" s="6"/>
      <c r="VBX39" s="6"/>
      <c r="VBY39" s="6"/>
      <c r="VBZ39" s="6"/>
      <c r="VCA39" s="6"/>
      <c r="VCB39" s="6"/>
      <c r="VCC39" s="6"/>
      <c r="VCD39" s="6"/>
      <c r="VCE39" s="6"/>
      <c r="VCF39" s="6"/>
      <c r="VCG39" s="6"/>
      <c r="VCH39" s="6"/>
      <c r="VCI39" s="6"/>
      <c r="VCJ39" s="6"/>
      <c r="VCK39" s="6"/>
      <c r="VCL39" s="6"/>
      <c r="VCM39" s="6"/>
      <c r="VCN39" s="6"/>
      <c r="VCO39" s="6"/>
      <c r="VCP39" s="6"/>
      <c r="VCQ39" s="6"/>
      <c r="VCR39" s="6"/>
      <c r="VCS39" s="6"/>
      <c r="VCT39" s="6"/>
      <c r="VCU39" s="6"/>
      <c r="VCV39" s="6"/>
      <c r="VCW39" s="6"/>
      <c r="VCX39" s="6"/>
      <c r="VCY39" s="6"/>
      <c r="VCZ39" s="6"/>
      <c r="VDA39" s="6"/>
      <c r="VDB39" s="6"/>
      <c r="VDC39" s="6"/>
      <c r="VDD39" s="6"/>
      <c r="VDE39" s="6"/>
      <c r="VDF39" s="6"/>
      <c r="VDG39" s="6"/>
      <c r="VDH39" s="6"/>
      <c r="VDI39" s="6"/>
      <c r="VDJ39" s="6"/>
      <c r="VDK39" s="6"/>
      <c r="VDL39" s="6"/>
      <c r="VDM39" s="6"/>
      <c r="VDN39" s="6"/>
      <c r="VDO39" s="6"/>
      <c r="VDP39" s="6"/>
      <c r="VDQ39" s="6"/>
      <c r="VDR39" s="6"/>
      <c r="VDS39" s="6"/>
      <c r="VDT39" s="6"/>
      <c r="VDU39" s="6"/>
      <c r="VDV39" s="6"/>
      <c r="VDW39" s="6"/>
      <c r="VDX39" s="6"/>
      <c r="VDY39" s="6"/>
      <c r="VDZ39" s="6"/>
      <c r="VEA39" s="6"/>
      <c r="VEB39" s="6"/>
      <c r="VEC39" s="6"/>
      <c r="VED39" s="6"/>
      <c r="VEE39" s="6"/>
      <c r="VEF39" s="6"/>
      <c r="VEG39" s="6"/>
      <c r="VEH39" s="6"/>
      <c r="VEI39" s="6"/>
      <c r="VEJ39" s="6"/>
      <c r="VEK39" s="6"/>
      <c r="VEL39" s="6"/>
      <c r="VEM39" s="6"/>
      <c r="VEN39" s="6"/>
      <c r="VEO39" s="6"/>
      <c r="VEP39" s="6"/>
      <c r="VEQ39" s="6"/>
      <c r="VER39" s="6"/>
      <c r="VES39" s="6"/>
      <c r="VET39" s="6"/>
      <c r="VEU39" s="6"/>
      <c r="VEV39" s="6"/>
      <c r="VEW39" s="6"/>
      <c r="VEX39" s="6"/>
      <c r="VEY39" s="6"/>
      <c r="VEZ39" s="6"/>
      <c r="VFA39" s="6"/>
      <c r="VFB39" s="6"/>
      <c r="VFC39" s="6"/>
      <c r="VFD39" s="6"/>
      <c r="VFE39" s="6"/>
      <c r="VFF39" s="6"/>
      <c r="VFG39" s="6"/>
      <c r="VFH39" s="6"/>
      <c r="VFI39" s="6"/>
      <c r="VFJ39" s="6"/>
      <c r="VFK39" s="6"/>
      <c r="VFL39" s="6"/>
      <c r="VFM39" s="6"/>
      <c r="VFN39" s="6"/>
      <c r="VFO39" s="6"/>
      <c r="VFP39" s="6"/>
      <c r="VFQ39" s="6"/>
      <c r="VFR39" s="6"/>
      <c r="VFS39" s="6"/>
      <c r="VFT39" s="6"/>
      <c r="VFU39" s="6"/>
      <c r="VFV39" s="6"/>
      <c r="VFW39" s="6"/>
      <c r="VFX39" s="6"/>
      <c r="VFY39" s="6"/>
      <c r="VFZ39" s="6"/>
      <c r="VGA39" s="6"/>
      <c r="VGB39" s="6"/>
      <c r="VGC39" s="6"/>
      <c r="VGD39" s="6"/>
      <c r="VGE39" s="6"/>
      <c r="VGF39" s="6"/>
      <c r="VGG39" s="6"/>
      <c r="VGH39" s="6"/>
      <c r="VGI39" s="6"/>
      <c r="VGJ39" s="6"/>
      <c r="VGK39" s="6"/>
      <c r="VGL39" s="6"/>
      <c r="VGM39" s="6"/>
      <c r="VGN39" s="6"/>
      <c r="VGO39" s="6"/>
      <c r="VGP39" s="6"/>
      <c r="VGQ39" s="6"/>
      <c r="VGR39" s="6"/>
      <c r="VGS39" s="6"/>
      <c r="VGT39" s="6"/>
      <c r="VGU39" s="6"/>
      <c r="VGV39" s="6"/>
      <c r="VGW39" s="6"/>
      <c r="VGX39" s="6"/>
      <c r="VGY39" s="6"/>
      <c r="VGZ39" s="6"/>
      <c r="VHA39" s="6"/>
      <c r="VHB39" s="6"/>
      <c r="VHC39" s="6"/>
      <c r="VHD39" s="6"/>
      <c r="VHE39" s="6"/>
      <c r="VHF39" s="6"/>
      <c r="VHG39" s="6"/>
      <c r="VHH39" s="6"/>
      <c r="VHI39" s="6"/>
      <c r="VHJ39" s="6"/>
      <c r="VHK39" s="6"/>
      <c r="VHL39" s="6"/>
      <c r="VHM39" s="6"/>
      <c r="VHN39" s="6"/>
      <c r="VHO39" s="6"/>
      <c r="VHP39" s="6"/>
      <c r="VHQ39" s="6"/>
      <c r="VHR39" s="6"/>
      <c r="VHS39" s="6"/>
      <c r="VHT39" s="6"/>
      <c r="VHU39" s="6"/>
      <c r="VHV39" s="6"/>
      <c r="VHW39" s="6"/>
      <c r="VHX39" s="6"/>
      <c r="VHY39" s="6"/>
      <c r="VHZ39" s="6"/>
      <c r="VIA39" s="6"/>
      <c r="VIB39" s="6"/>
      <c r="VIC39" s="6"/>
      <c r="VID39" s="6"/>
      <c r="VIE39" s="6"/>
      <c r="VIF39" s="6"/>
      <c r="VIG39" s="6"/>
      <c r="VIH39" s="6"/>
      <c r="VII39" s="6"/>
      <c r="VIJ39" s="6"/>
      <c r="VIK39" s="6"/>
      <c r="VIL39" s="6"/>
      <c r="VIM39" s="6"/>
      <c r="VIN39" s="6"/>
      <c r="VIO39" s="6"/>
      <c r="VIP39" s="6"/>
      <c r="VIQ39" s="6"/>
      <c r="VIR39" s="6"/>
      <c r="VIS39" s="6"/>
      <c r="VIT39" s="6"/>
      <c r="VIU39" s="6"/>
      <c r="VIV39" s="6"/>
      <c r="VIW39" s="6"/>
      <c r="VIX39" s="6"/>
      <c r="VIY39" s="6"/>
      <c r="VIZ39" s="6"/>
      <c r="VJA39" s="6"/>
      <c r="VJB39" s="6"/>
      <c r="VJC39" s="6"/>
      <c r="VJD39" s="6"/>
      <c r="VJE39" s="6"/>
      <c r="VJF39" s="6"/>
      <c r="VJG39" s="6"/>
      <c r="VJH39" s="6"/>
      <c r="VJI39" s="6"/>
      <c r="VJJ39" s="6"/>
      <c r="VJK39" s="6"/>
      <c r="VJL39" s="6"/>
      <c r="VJM39" s="6"/>
      <c r="VJN39" s="6"/>
      <c r="VJO39" s="6"/>
      <c r="VJP39" s="6"/>
      <c r="VJQ39" s="6"/>
      <c r="VJR39" s="6"/>
      <c r="VJS39" s="6"/>
      <c r="VJT39" s="6"/>
      <c r="VJU39" s="6"/>
      <c r="VJV39" s="6"/>
      <c r="VJW39" s="6"/>
      <c r="VJX39" s="6"/>
      <c r="VJY39" s="6"/>
      <c r="VJZ39" s="6"/>
      <c r="VKA39" s="6"/>
      <c r="VKB39" s="6"/>
      <c r="VKC39" s="6"/>
      <c r="VKD39" s="6"/>
      <c r="VKE39" s="6"/>
      <c r="VKF39" s="6"/>
      <c r="VKG39" s="6"/>
      <c r="VKH39" s="6"/>
      <c r="VKI39" s="6"/>
      <c r="VKJ39" s="6"/>
      <c r="VKK39" s="6"/>
      <c r="VKL39" s="6"/>
      <c r="VKM39" s="6"/>
      <c r="VKN39" s="6"/>
      <c r="VKO39" s="6"/>
      <c r="VKP39" s="6"/>
      <c r="VKQ39" s="6"/>
      <c r="VKR39" s="6"/>
      <c r="VKS39" s="6"/>
      <c r="VKT39" s="6"/>
      <c r="VKU39" s="6"/>
      <c r="VKV39" s="6"/>
      <c r="VKW39" s="6"/>
      <c r="VKX39" s="6"/>
      <c r="VKY39" s="6"/>
      <c r="VKZ39" s="6"/>
      <c r="VLA39" s="6"/>
      <c r="VLB39" s="6"/>
      <c r="VLC39" s="6"/>
      <c r="VLD39" s="6"/>
      <c r="VLE39" s="6"/>
      <c r="VLF39" s="6"/>
      <c r="VLG39" s="6"/>
      <c r="VLH39" s="6"/>
      <c r="VLI39" s="6"/>
      <c r="VLJ39" s="6"/>
      <c r="VLK39" s="6"/>
      <c r="VLL39" s="6"/>
      <c r="VLM39" s="6"/>
      <c r="VLN39" s="6"/>
      <c r="VLO39" s="6"/>
      <c r="VLP39" s="6"/>
      <c r="VLQ39" s="6"/>
      <c r="VLR39" s="6"/>
      <c r="VLS39" s="6"/>
      <c r="VLT39" s="6"/>
      <c r="VLU39" s="6"/>
      <c r="VLV39" s="6"/>
      <c r="VLW39" s="6"/>
      <c r="VLX39" s="6"/>
      <c r="VLY39" s="6"/>
      <c r="VLZ39" s="6"/>
      <c r="VMA39" s="6"/>
      <c r="VMB39" s="6"/>
      <c r="VMC39" s="6"/>
      <c r="VMD39" s="6"/>
      <c r="VME39" s="6"/>
      <c r="VMF39" s="6"/>
      <c r="VMG39" s="6"/>
      <c r="VMH39" s="6"/>
      <c r="VMI39" s="6"/>
      <c r="VMJ39" s="6"/>
      <c r="VMK39" s="6"/>
      <c r="VML39" s="6"/>
      <c r="VMM39" s="6"/>
      <c r="VMN39" s="6"/>
      <c r="VMO39" s="6"/>
      <c r="VMP39" s="6"/>
      <c r="VMQ39" s="6"/>
      <c r="VMR39" s="6"/>
      <c r="VMS39" s="6"/>
      <c r="VMT39" s="6"/>
      <c r="VMU39" s="6"/>
      <c r="VMV39" s="6"/>
      <c r="VMW39" s="6"/>
      <c r="VMX39" s="6"/>
      <c r="VMY39" s="6"/>
      <c r="VMZ39" s="6"/>
      <c r="VNA39" s="6"/>
      <c r="VNB39" s="6"/>
      <c r="VNC39" s="6"/>
      <c r="VND39" s="6"/>
      <c r="VNE39" s="6"/>
      <c r="VNF39" s="6"/>
      <c r="VNG39" s="6"/>
      <c r="VNH39" s="6"/>
      <c r="VNI39" s="6"/>
      <c r="VNJ39" s="6"/>
      <c r="VNK39" s="6"/>
      <c r="VNL39" s="6"/>
      <c r="VNM39" s="6"/>
      <c r="VNN39" s="6"/>
      <c r="VNO39" s="6"/>
      <c r="VNP39" s="6"/>
      <c r="VNQ39" s="6"/>
      <c r="VNR39" s="6"/>
      <c r="VNS39" s="6"/>
      <c r="VNT39" s="6"/>
      <c r="VNU39" s="6"/>
      <c r="VNV39" s="6"/>
      <c r="VNW39" s="6"/>
      <c r="VNX39" s="6"/>
      <c r="VNY39" s="6"/>
      <c r="VNZ39" s="6"/>
      <c r="VOA39" s="6"/>
      <c r="VOB39" s="6"/>
      <c r="VOC39" s="6"/>
      <c r="VOD39" s="6"/>
      <c r="VOE39" s="6"/>
      <c r="VOF39" s="6"/>
      <c r="VOG39" s="6"/>
      <c r="VOH39" s="6"/>
      <c r="VOI39" s="6"/>
      <c r="VOJ39" s="6"/>
      <c r="VOK39" s="6"/>
      <c r="VOL39" s="6"/>
      <c r="VOM39" s="6"/>
      <c r="VON39" s="6"/>
      <c r="VOO39" s="6"/>
      <c r="VOP39" s="6"/>
      <c r="VOQ39" s="6"/>
      <c r="VOR39" s="6"/>
      <c r="VOS39" s="6"/>
      <c r="VOT39" s="6"/>
      <c r="VOU39" s="6"/>
      <c r="VOV39" s="6"/>
      <c r="VOW39" s="6"/>
      <c r="VOX39" s="6"/>
      <c r="VOY39" s="6"/>
      <c r="VOZ39" s="6"/>
      <c r="VPA39" s="6"/>
      <c r="VPB39" s="6"/>
      <c r="VPC39" s="6"/>
      <c r="VPD39" s="6"/>
      <c r="VPE39" s="6"/>
      <c r="VPF39" s="6"/>
      <c r="VPG39" s="6"/>
      <c r="VPH39" s="6"/>
      <c r="VPI39" s="6"/>
      <c r="VPJ39" s="6"/>
      <c r="VPK39" s="6"/>
      <c r="VPL39" s="6"/>
      <c r="VPM39" s="6"/>
      <c r="VPN39" s="6"/>
      <c r="VPO39" s="6"/>
      <c r="VPP39" s="6"/>
      <c r="VPQ39" s="6"/>
      <c r="VPR39" s="6"/>
      <c r="VPS39" s="6"/>
      <c r="VPT39" s="6"/>
      <c r="VPU39" s="6"/>
      <c r="VPV39" s="6"/>
      <c r="VPW39" s="6"/>
      <c r="VPX39" s="6"/>
      <c r="VPY39" s="6"/>
      <c r="VPZ39" s="6"/>
      <c r="VQA39" s="6"/>
      <c r="VQB39" s="6"/>
      <c r="VQC39" s="6"/>
      <c r="VQD39" s="6"/>
      <c r="VQE39" s="6"/>
      <c r="VQF39" s="6"/>
      <c r="VQG39" s="6"/>
      <c r="VQH39" s="6"/>
      <c r="VQI39" s="6"/>
      <c r="VQJ39" s="6"/>
      <c r="VQK39" s="6"/>
      <c r="VQL39" s="6"/>
      <c r="VQM39" s="6"/>
      <c r="VQN39" s="6"/>
      <c r="VQO39" s="6"/>
      <c r="VQP39" s="6"/>
      <c r="VQQ39" s="6"/>
      <c r="VQR39" s="6"/>
      <c r="VQS39" s="6"/>
      <c r="VQT39" s="6"/>
      <c r="VQU39" s="6"/>
      <c r="VQV39" s="6"/>
      <c r="VQW39" s="6"/>
      <c r="VQX39" s="6"/>
      <c r="VQY39" s="6"/>
      <c r="VQZ39" s="6"/>
      <c r="VRA39" s="6"/>
      <c r="VRB39" s="6"/>
      <c r="VRC39" s="6"/>
      <c r="VRD39" s="6"/>
      <c r="VRE39" s="6"/>
      <c r="VRF39" s="6"/>
      <c r="VRG39" s="6"/>
      <c r="VRH39" s="6"/>
      <c r="VRI39" s="6"/>
      <c r="VRJ39" s="6"/>
      <c r="VRK39" s="6"/>
      <c r="VRL39" s="6"/>
      <c r="VRM39" s="6"/>
      <c r="VRN39" s="6"/>
      <c r="VRO39" s="6"/>
      <c r="VRP39" s="6"/>
      <c r="VRQ39" s="6"/>
      <c r="VRR39" s="6"/>
      <c r="VRS39" s="6"/>
      <c r="VRT39" s="6"/>
      <c r="VRU39" s="6"/>
      <c r="VRV39" s="6"/>
      <c r="VRW39" s="6"/>
      <c r="VRX39" s="6"/>
      <c r="VRY39" s="6"/>
      <c r="VRZ39" s="6"/>
      <c r="VSA39" s="6"/>
      <c r="VSB39" s="6"/>
      <c r="VSC39" s="6"/>
      <c r="VSD39" s="6"/>
      <c r="VSE39" s="6"/>
      <c r="VSF39" s="6"/>
      <c r="VSG39" s="6"/>
      <c r="VSH39" s="6"/>
      <c r="VSI39" s="6"/>
      <c r="VSJ39" s="6"/>
      <c r="VSK39" s="6"/>
      <c r="VSL39" s="6"/>
      <c r="VSM39" s="6"/>
      <c r="VSN39" s="6"/>
      <c r="VSO39" s="6"/>
      <c r="VSP39" s="6"/>
      <c r="VSQ39" s="6"/>
      <c r="VSR39" s="6"/>
      <c r="VSS39" s="6"/>
      <c r="VST39" s="6"/>
      <c r="VSU39" s="6"/>
      <c r="VSV39" s="6"/>
      <c r="VSW39" s="6"/>
      <c r="VSX39" s="6"/>
      <c r="VSY39" s="6"/>
      <c r="VSZ39" s="6"/>
      <c r="VTA39" s="6"/>
      <c r="VTB39" s="6"/>
      <c r="VTC39" s="6"/>
      <c r="VTD39" s="6"/>
      <c r="VTE39" s="6"/>
      <c r="VTF39" s="6"/>
      <c r="VTG39" s="6"/>
      <c r="VTH39" s="6"/>
      <c r="VTI39" s="6"/>
      <c r="VTJ39" s="6"/>
      <c r="VTK39" s="6"/>
      <c r="VTL39" s="6"/>
      <c r="VTM39" s="6"/>
      <c r="VTN39" s="6"/>
      <c r="VTO39" s="6"/>
      <c r="VTP39" s="6"/>
      <c r="VTQ39" s="6"/>
      <c r="VTR39" s="6"/>
      <c r="VTS39" s="6"/>
      <c r="VTT39" s="6"/>
      <c r="VTU39" s="6"/>
      <c r="VTV39" s="6"/>
      <c r="VTW39" s="6"/>
      <c r="VTX39" s="6"/>
      <c r="VTY39" s="6"/>
      <c r="VTZ39" s="6"/>
      <c r="VUA39" s="6"/>
      <c r="VUB39" s="6"/>
      <c r="VUC39" s="6"/>
      <c r="VUD39" s="6"/>
      <c r="VUE39" s="6"/>
      <c r="VUF39" s="6"/>
      <c r="VUG39" s="6"/>
      <c r="VUH39" s="6"/>
      <c r="VUI39" s="6"/>
      <c r="VUJ39" s="6"/>
      <c r="VUK39" s="6"/>
      <c r="VUL39" s="6"/>
      <c r="VUM39" s="6"/>
      <c r="VUN39" s="6"/>
      <c r="VUO39" s="6"/>
      <c r="VUP39" s="6"/>
      <c r="VUQ39" s="6"/>
      <c r="VUR39" s="6"/>
      <c r="VUS39" s="6"/>
      <c r="VUT39" s="6"/>
      <c r="VUU39" s="6"/>
      <c r="VUV39" s="6"/>
      <c r="VUW39" s="6"/>
      <c r="VUX39" s="6"/>
      <c r="VUY39" s="6"/>
      <c r="VUZ39" s="6"/>
      <c r="VVA39" s="6"/>
      <c r="VVB39" s="6"/>
      <c r="VVC39" s="6"/>
      <c r="VVD39" s="6"/>
      <c r="VVE39" s="6"/>
      <c r="VVF39" s="6"/>
      <c r="VVG39" s="6"/>
      <c r="VVH39" s="6"/>
      <c r="VVI39" s="6"/>
      <c r="VVJ39" s="6"/>
      <c r="VVK39" s="6"/>
      <c r="VVL39" s="6"/>
      <c r="VVM39" s="6"/>
      <c r="VVN39" s="6"/>
      <c r="VVO39" s="6"/>
      <c r="VVP39" s="6"/>
      <c r="VVQ39" s="6"/>
      <c r="VVR39" s="6"/>
      <c r="VVS39" s="6"/>
      <c r="VVT39" s="6"/>
      <c r="VVU39" s="6"/>
      <c r="VVV39" s="6"/>
      <c r="VVW39" s="6"/>
      <c r="VVX39" s="6"/>
      <c r="VVY39" s="6"/>
      <c r="VVZ39" s="6"/>
      <c r="VWA39" s="6"/>
      <c r="VWB39" s="6"/>
      <c r="VWC39" s="6"/>
      <c r="VWD39" s="6"/>
      <c r="VWE39" s="6"/>
      <c r="VWF39" s="6"/>
      <c r="VWG39" s="6"/>
      <c r="VWH39" s="6"/>
      <c r="VWI39" s="6"/>
      <c r="VWJ39" s="6"/>
      <c r="VWK39" s="6"/>
      <c r="VWL39" s="6"/>
      <c r="VWM39" s="6"/>
      <c r="VWN39" s="6"/>
      <c r="VWO39" s="6"/>
      <c r="VWP39" s="6"/>
      <c r="VWQ39" s="6"/>
      <c r="VWR39" s="6"/>
      <c r="VWS39" s="6"/>
      <c r="VWT39" s="6"/>
      <c r="VWU39" s="6"/>
      <c r="VWV39" s="6"/>
      <c r="VWW39" s="6"/>
      <c r="VWX39" s="6"/>
      <c r="VWY39" s="6"/>
      <c r="VWZ39" s="6"/>
      <c r="VXA39" s="6"/>
      <c r="VXB39" s="6"/>
      <c r="VXC39" s="6"/>
      <c r="VXD39" s="6"/>
      <c r="VXE39" s="6"/>
      <c r="VXF39" s="6"/>
      <c r="VXG39" s="6"/>
      <c r="VXH39" s="6"/>
      <c r="VXI39" s="6"/>
      <c r="VXJ39" s="6"/>
      <c r="VXK39" s="6"/>
      <c r="VXL39" s="6"/>
      <c r="VXM39" s="6"/>
      <c r="VXN39" s="6"/>
      <c r="VXO39" s="6"/>
      <c r="VXP39" s="6"/>
      <c r="VXQ39" s="6"/>
      <c r="VXR39" s="6"/>
      <c r="VXS39" s="6"/>
      <c r="VXT39" s="6"/>
      <c r="VXU39" s="6"/>
      <c r="VXV39" s="6"/>
      <c r="VXW39" s="6"/>
      <c r="VXX39" s="6"/>
      <c r="VXY39" s="6"/>
      <c r="VXZ39" s="6"/>
      <c r="VYA39" s="6"/>
      <c r="VYB39" s="6"/>
      <c r="VYC39" s="6"/>
      <c r="VYD39" s="6"/>
      <c r="VYE39" s="6"/>
      <c r="VYF39" s="6"/>
      <c r="VYG39" s="6"/>
      <c r="VYH39" s="6"/>
      <c r="VYI39" s="6"/>
      <c r="VYJ39" s="6"/>
      <c r="VYK39" s="6"/>
      <c r="VYL39" s="6"/>
      <c r="VYM39" s="6"/>
      <c r="VYN39" s="6"/>
      <c r="VYO39" s="6"/>
      <c r="VYP39" s="6"/>
      <c r="VYQ39" s="6"/>
      <c r="VYR39" s="6"/>
      <c r="VYS39" s="6"/>
      <c r="VYT39" s="6"/>
      <c r="VYU39" s="6"/>
      <c r="VYV39" s="6"/>
      <c r="VYW39" s="6"/>
      <c r="VYX39" s="6"/>
      <c r="VYY39" s="6"/>
      <c r="VYZ39" s="6"/>
      <c r="VZA39" s="6"/>
      <c r="VZB39" s="6"/>
      <c r="VZC39" s="6"/>
      <c r="VZD39" s="6"/>
      <c r="VZE39" s="6"/>
      <c r="VZF39" s="6"/>
      <c r="VZG39" s="6"/>
      <c r="VZH39" s="6"/>
      <c r="VZI39" s="6"/>
      <c r="VZJ39" s="6"/>
      <c r="VZK39" s="6"/>
      <c r="VZL39" s="6"/>
      <c r="VZM39" s="6"/>
      <c r="VZN39" s="6"/>
      <c r="VZO39" s="6"/>
      <c r="VZP39" s="6"/>
      <c r="VZQ39" s="6"/>
      <c r="VZR39" s="6"/>
      <c r="VZS39" s="6"/>
      <c r="VZT39" s="6"/>
      <c r="VZU39" s="6"/>
      <c r="VZV39" s="6"/>
      <c r="VZW39" s="6"/>
      <c r="VZX39" s="6"/>
      <c r="VZY39" s="6"/>
      <c r="VZZ39" s="6"/>
      <c r="WAA39" s="6"/>
      <c r="WAB39" s="6"/>
      <c r="WAC39" s="6"/>
      <c r="WAD39" s="6"/>
      <c r="WAE39" s="6"/>
      <c r="WAF39" s="6"/>
      <c r="WAG39" s="6"/>
      <c r="WAH39" s="6"/>
      <c r="WAI39" s="6"/>
      <c r="WAJ39" s="6"/>
      <c r="WAK39" s="6"/>
      <c r="WAL39" s="6"/>
      <c r="WAM39" s="6"/>
      <c r="WAN39" s="6"/>
      <c r="WAO39" s="6"/>
      <c r="WAP39" s="6"/>
      <c r="WAQ39" s="6"/>
      <c r="WAR39" s="6"/>
      <c r="WAS39" s="6"/>
      <c r="WAT39" s="6"/>
      <c r="WAU39" s="6"/>
      <c r="WAV39" s="6"/>
      <c r="WAW39" s="6"/>
      <c r="WAX39" s="6"/>
      <c r="WAY39" s="6"/>
      <c r="WAZ39" s="6"/>
      <c r="WBA39" s="6"/>
      <c r="WBB39" s="6"/>
      <c r="WBC39" s="6"/>
      <c r="WBD39" s="6"/>
      <c r="WBE39" s="6"/>
      <c r="WBF39" s="6"/>
      <c r="WBG39" s="6"/>
      <c r="WBH39" s="6"/>
      <c r="WBI39" s="6"/>
      <c r="WBJ39" s="6"/>
      <c r="WBK39" s="6"/>
      <c r="WBL39" s="6"/>
      <c r="WBM39" s="6"/>
      <c r="WBN39" s="6"/>
      <c r="WBO39" s="6"/>
      <c r="WBP39" s="6"/>
      <c r="WBQ39" s="6"/>
      <c r="WBR39" s="6"/>
      <c r="WBS39" s="6"/>
      <c r="WBT39" s="6"/>
      <c r="WBU39" s="6"/>
      <c r="WBV39" s="6"/>
      <c r="WBW39" s="6"/>
      <c r="WBX39" s="6"/>
      <c r="WBY39" s="6"/>
      <c r="WBZ39" s="6"/>
      <c r="WCA39" s="6"/>
      <c r="WCB39" s="6"/>
      <c r="WCC39" s="6"/>
      <c r="WCD39" s="6"/>
      <c r="WCE39" s="6"/>
      <c r="WCF39" s="6"/>
      <c r="WCG39" s="6"/>
      <c r="WCH39" s="6"/>
      <c r="WCI39" s="6"/>
      <c r="WCJ39" s="6"/>
      <c r="WCK39" s="6"/>
      <c r="WCL39" s="6"/>
      <c r="WCM39" s="6"/>
      <c r="WCN39" s="6"/>
      <c r="WCO39" s="6"/>
      <c r="WCP39" s="6"/>
      <c r="WCQ39" s="6"/>
      <c r="WCR39" s="6"/>
      <c r="WCS39" s="6"/>
      <c r="WCT39" s="6"/>
      <c r="WCU39" s="6"/>
      <c r="WCV39" s="6"/>
      <c r="WCW39" s="6"/>
      <c r="WCX39" s="6"/>
      <c r="WCY39" s="6"/>
      <c r="WCZ39" s="6"/>
      <c r="WDA39" s="6"/>
      <c r="WDB39" s="6"/>
      <c r="WDC39" s="6"/>
      <c r="WDD39" s="6"/>
      <c r="WDE39" s="6"/>
      <c r="WDF39" s="6"/>
      <c r="WDG39" s="6"/>
      <c r="WDH39" s="6"/>
      <c r="WDI39" s="6"/>
      <c r="WDJ39" s="6"/>
      <c r="WDK39" s="6"/>
      <c r="WDL39" s="6"/>
      <c r="WDM39" s="6"/>
      <c r="WDN39" s="6"/>
      <c r="WDO39" s="6"/>
      <c r="WDP39" s="6"/>
      <c r="WDQ39" s="6"/>
      <c r="WDR39" s="6"/>
      <c r="WDS39" s="6"/>
      <c r="WDT39" s="6"/>
      <c r="WDU39" s="6"/>
      <c r="WDV39" s="6"/>
      <c r="WDW39" s="6"/>
      <c r="WDX39" s="6"/>
      <c r="WDY39" s="6"/>
      <c r="WDZ39" s="6"/>
      <c r="WEA39" s="6"/>
      <c r="WEB39" s="6"/>
      <c r="WEC39" s="6"/>
      <c r="WED39" s="6"/>
      <c r="WEE39" s="6"/>
      <c r="WEF39" s="6"/>
      <c r="WEG39" s="6"/>
      <c r="WEH39" s="6"/>
      <c r="WEI39" s="6"/>
      <c r="WEJ39" s="6"/>
      <c r="WEK39" s="6"/>
      <c r="WEL39" s="6"/>
      <c r="WEM39" s="6"/>
      <c r="WEN39" s="6"/>
      <c r="WEO39" s="6"/>
      <c r="WEP39" s="6"/>
      <c r="WEQ39" s="6"/>
      <c r="WER39" s="6"/>
      <c r="WES39" s="6"/>
      <c r="WET39" s="6"/>
      <c r="WEU39" s="6"/>
      <c r="WEV39" s="6"/>
      <c r="WEW39" s="6"/>
      <c r="WEX39" s="6"/>
      <c r="WEY39" s="6"/>
      <c r="WEZ39" s="6"/>
      <c r="WFA39" s="6"/>
      <c r="WFB39" s="6"/>
      <c r="WFC39" s="6"/>
      <c r="WFD39" s="6"/>
      <c r="WFE39" s="6"/>
      <c r="WFF39" s="6"/>
      <c r="WFG39" s="6"/>
      <c r="WFH39" s="6"/>
      <c r="WFI39" s="6"/>
      <c r="WFJ39" s="6"/>
      <c r="WFK39" s="6"/>
      <c r="WFL39" s="6"/>
      <c r="WFM39" s="6"/>
      <c r="WFN39" s="6"/>
      <c r="WFO39" s="6"/>
      <c r="WFP39" s="6"/>
      <c r="WFQ39" s="6"/>
      <c r="WFR39" s="6"/>
      <c r="WFS39" s="6"/>
      <c r="WFT39" s="6"/>
      <c r="WFU39" s="6"/>
      <c r="WFV39" s="6"/>
      <c r="WFW39" s="6"/>
      <c r="WFX39" s="6"/>
      <c r="WFY39" s="6"/>
      <c r="WFZ39" s="6"/>
      <c r="WGA39" s="6"/>
      <c r="WGB39" s="6"/>
      <c r="WGC39" s="6"/>
      <c r="WGD39" s="6"/>
      <c r="WGE39" s="6"/>
      <c r="WGF39" s="6"/>
      <c r="WGG39" s="6"/>
      <c r="WGH39" s="6"/>
      <c r="WGI39" s="6"/>
      <c r="WGJ39" s="6"/>
      <c r="WGK39" s="6"/>
      <c r="WGL39" s="6"/>
      <c r="WGM39" s="6"/>
      <c r="WGN39" s="6"/>
      <c r="WGO39" s="6"/>
      <c r="WGP39" s="6"/>
      <c r="WGQ39" s="6"/>
      <c r="WGR39" s="6"/>
      <c r="WGS39" s="6"/>
      <c r="WGT39" s="6"/>
      <c r="WGU39" s="6"/>
      <c r="WGV39" s="6"/>
      <c r="WGW39" s="6"/>
      <c r="WGX39" s="6"/>
      <c r="WGY39" s="6"/>
      <c r="WGZ39" s="6"/>
      <c r="WHA39" s="6"/>
      <c r="WHB39" s="6"/>
      <c r="WHC39" s="6"/>
      <c r="WHD39" s="6"/>
      <c r="WHE39" s="6"/>
      <c r="WHF39" s="6"/>
      <c r="WHG39" s="6"/>
      <c r="WHH39" s="6"/>
      <c r="WHI39" s="6"/>
      <c r="WHJ39" s="6"/>
      <c r="WHK39" s="6"/>
      <c r="WHL39" s="6"/>
      <c r="WHM39" s="6"/>
      <c r="WHN39" s="6"/>
      <c r="WHO39" s="6"/>
      <c r="WHP39" s="6"/>
      <c r="WHQ39" s="6"/>
      <c r="WHR39" s="6"/>
      <c r="WHS39" s="6"/>
      <c r="WHT39" s="6"/>
      <c r="WHU39" s="6"/>
      <c r="WHV39" s="6"/>
      <c r="WHW39" s="6"/>
      <c r="WHX39" s="6"/>
      <c r="WHY39" s="6"/>
      <c r="WHZ39" s="6"/>
      <c r="WIA39" s="6"/>
      <c r="WIB39" s="6"/>
      <c r="WIC39" s="6"/>
      <c r="WID39" s="6"/>
      <c r="WIE39" s="6"/>
      <c r="WIF39" s="6"/>
      <c r="WIG39" s="6"/>
      <c r="WIH39" s="6"/>
      <c r="WII39" s="6"/>
      <c r="WIJ39" s="6"/>
      <c r="WIK39" s="6"/>
      <c r="WIL39" s="6"/>
      <c r="WIM39" s="6"/>
      <c r="WIN39" s="6"/>
      <c r="WIO39" s="6"/>
      <c r="WIP39" s="6"/>
      <c r="WIQ39" s="6"/>
      <c r="WIR39" s="6"/>
      <c r="WIS39" s="6"/>
      <c r="WIT39" s="6"/>
      <c r="WIU39" s="6"/>
      <c r="WIV39" s="6"/>
      <c r="WIW39" s="6"/>
      <c r="WIX39" s="6"/>
      <c r="WIY39" s="6"/>
      <c r="WIZ39" s="6"/>
      <c r="WJA39" s="6"/>
      <c r="WJB39" s="6"/>
      <c r="WJC39" s="6"/>
      <c r="WJD39" s="6"/>
      <c r="WJE39" s="6"/>
      <c r="WJF39" s="6"/>
      <c r="WJG39" s="6"/>
      <c r="WJH39" s="6"/>
      <c r="WJI39" s="6"/>
      <c r="WJJ39" s="6"/>
      <c r="WJK39" s="6"/>
      <c r="WJL39" s="6"/>
      <c r="WJM39" s="6"/>
      <c r="WJN39" s="6"/>
      <c r="WJO39" s="6"/>
      <c r="WJP39" s="6"/>
      <c r="WJQ39" s="6"/>
      <c r="WJR39" s="6"/>
      <c r="WJS39" s="6"/>
      <c r="WJT39" s="6"/>
      <c r="WJU39" s="6"/>
      <c r="WJV39" s="6"/>
      <c r="WJW39" s="6"/>
      <c r="WJX39" s="6"/>
      <c r="WJY39" s="6"/>
      <c r="WJZ39" s="6"/>
      <c r="WKA39" s="6"/>
      <c r="WKB39" s="6"/>
      <c r="WKC39" s="6"/>
      <c r="WKD39" s="6"/>
      <c r="WKE39" s="6"/>
      <c r="WKF39" s="6"/>
      <c r="WKG39" s="6"/>
      <c r="WKH39" s="6"/>
      <c r="WKI39" s="6"/>
      <c r="WKJ39" s="6"/>
      <c r="WKK39" s="6"/>
      <c r="WKL39" s="6"/>
      <c r="WKM39" s="6"/>
      <c r="WKN39" s="6"/>
      <c r="WKO39" s="6"/>
      <c r="WKP39" s="6"/>
      <c r="WKQ39" s="6"/>
      <c r="WKR39" s="6"/>
      <c r="WKS39" s="6"/>
      <c r="WKT39" s="6"/>
      <c r="WKU39" s="6"/>
      <c r="WKV39" s="6"/>
      <c r="WKW39" s="6"/>
      <c r="WKX39" s="6"/>
      <c r="WKY39" s="6"/>
      <c r="WKZ39" s="6"/>
      <c r="WLA39" s="6"/>
      <c r="WLB39" s="6"/>
      <c r="WLC39" s="6"/>
      <c r="WLD39" s="6"/>
      <c r="WLE39" s="6"/>
      <c r="WLF39" s="6"/>
      <c r="WLG39" s="6"/>
      <c r="WLH39" s="6"/>
      <c r="WLI39" s="6"/>
      <c r="WLJ39" s="6"/>
      <c r="WLK39" s="6"/>
      <c r="WLL39" s="6"/>
      <c r="WLM39" s="6"/>
      <c r="WLN39" s="6"/>
      <c r="WLO39" s="6"/>
      <c r="WLP39" s="6"/>
      <c r="WLQ39" s="6"/>
      <c r="WLR39" s="6"/>
      <c r="WLS39" s="6"/>
      <c r="WLT39" s="6"/>
      <c r="WLU39" s="6"/>
      <c r="WLV39" s="6"/>
      <c r="WLW39" s="6"/>
      <c r="WLX39" s="6"/>
      <c r="WLY39" s="6"/>
      <c r="WLZ39" s="6"/>
      <c r="WMA39" s="6"/>
      <c r="WMB39" s="6"/>
      <c r="WMC39" s="6"/>
      <c r="WMD39" s="6"/>
      <c r="WME39" s="6"/>
      <c r="WMF39" s="6"/>
      <c r="WMG39" s="6"/>
      <c r="WMH39" s="6"/>
      <c r="WMI39" s="6"/>
      <c r="WMJ39" s="6"/>
      <c r="WMK39" s="6"/>
      <c r="WML39" s="6"/>
      <c r="WMM39" s="6"/>
      <c r="WMN39" s="6"/>
      <c r="WMO39" s="6"/>
      <c r="WMP39" s="6"/>
      <c r="WMQ39" s="6"/>
      <c r="WMR39" s="6"/>
      <c r="WMS39" s="6"/>
      <c r="WMT39" s="6"/>
      <c r="WMU39" s="6"/>
      <c r="WMV39" s="6"/>
      <c r="WMW39" s="6"/>
      <c r="WMX39" s="6"/>
      <c r="WMY39" s="6"/>
      <c r="WMZ39" s="6"/>
      <c r="WNA39" s="6"/>
      <c r="WNB39" s="6"/>
      <c r="WNC39" s="6"/>
      <c r="WND39" s="6"/>
      <c r="WNE39" s="6"/>
      <c r="WNF39" s="6"/>
      <c r="WNG39" s="6"/>
      <c r="WNH39" s="6"/>
      <c r="WNI39" s="6"/>
      <c r="WNJ39" s="6"/>
      <c r="WNK39" s="6"/>
      <c r="WNL39" s="6"/>
      <c r="WNM39" s="6"/>
      <c r="WNN39" s="6"/>
      <c r="WNO39" s="6"/>
      <c r="WNP39" s="6"/>
      <c r="WNQ39" s="6"/>
      <c r="WNR39" s="6"/>
      <c r="WNS39" s="6"/>
      <c r="WNT39" s="6"/>
      <c r="WNU39" s="6"/>
      <c r="WNV39" s="6"/>
      <c r="WNW39" s="6"/>
      <c r="WNX39" s="6"/>
      <c r="WNY39" s="6"/>
      <c r="WNZ39" s="6"/>
      <c r="WOA39" s="6"/>
      <c r="WOB39" s="6"/>
      <c r="WOC39" s="6"/>
      <c r="WOD39" s="6"/>
      <c r="WOE39" s="6"/>
      <c r="WOF39" s="6"/>
      <c r="WOG39" s="6"/>
      <c r="WOH39" s="6"/>
      <c r="WOI39" s="6"/>
      <c r="WOJ39" s="6"/>
      <c r="WOK39" s="6"/>
      <c r="WOL39" s="6"/>
      <c r="WOM39" s="6"/>
      <c r="WON39" s="6"/>
      <c r="WOO39" s="6"/>
      <c r="WOP39" s="6"/>
      <c r="WOQ39" s="6"/>
      <c r="WOR39" s="6"/>
      <c r="WOS39" s="6"/>
      <c r="WOT39" s="6"/>
      <c r="WOU39" s="6"/>
      <c r="WOV39" s="6"/>
      <c r="WOW39" s="6"/>
      <c r="WOX39" s="6"/>
      <c r="WOY39" s="6"/>
      <c r="WOZ39" s="6"/>
      <c r="WPA39" s="6"/>
      <c r="WPB39" s="6"/>
      <c r="WPC39" s="6"/>
      <c r="WPD39" s="6"/>
      <c r="WPE39" s="6"/>
      <c r="WPF39" s="6"/>
      <c r="WPG39" s="6"/>
      <c r="WPH39" s="6"/>
      <c r="WPI39" s="6"/>
      <c r="WPJ39" s="6"/>
      <c r="WPK39" s="6"/>
      <c r="WPL39" s="6"/>
      <c r="WPM39" s="6"/>
      <c r="WPN39" s="6"/>
      <c r="WPO39" s="6"/>
      <c r="WPP39" s="6"/>
      <c r="WPQ39" s="6"/>
      <c r="WPR39" s="6"/>
      <c r="WPS39" s="6"/>
      <c r="WPT39" s="6"/>
      <c r="WPU39" s="6"/>
      <c r="WPV39" s="6"/>
      <c r="WPW39" s="6"/>
      <c r="WPX39" s="6"/>
      <c r="WPY39" s="6"/>
      <c r="WPZ39" s="6"/>
      <c r="WQA39" s="6"/>
      <c r="WQB39" s="6"/>
      <c r="WQC39" s="6"/>
      <c r="WQD39" s="6"/>
      <c r="WQE39" s="6"/>
      <c r="WQF39" s="6"/>
      <c r="WQG39" s="6"/>
      <c r="WQH39" s="6"/>
      <c r="WQI39" s="6"/>
      <c r="WQJ39" s="6"/>
      <c r="WQK39" s="6"/>
      <c r="WQL39" s="6"/>
      <c r="WQM39" s="6"/>
      <c r="WQN39" s="6"/>
      <c r="WQO39" s="6"/>
      <c r="WQP39" s="6"/>
      <c r="WQQ39" s="6"/>
      <c r="WQR39" s="6"/>
      <c r="WQS39" s="6"/>
      <c r="WQT39" s="6"/>
      <c r="WQU39" s="6"/>
      <c r="WQV39" s="6"/>
      <c r="WQW39" s="6"/>
      <c r="WQX39" s="6"/>
      <c r="WQY39" s="6"/>
      <c r="WQZ39" s="6"/>
      <c r="WRA39" s="6"/>
      <c r="WRB39" s="6"/>
      <c r="WRC39" s="6"/>
      <c r="WRD39" s="6"/>
      <c r="WRE39" s="6"/>
      <c r="WRF39" s="6"/>
      <c r="WRG39" s="6"/>
      <c r="WRH39" s="6"/>
      <c r="WRI39" s="6"/>
      <c r="WRJ39" s="6"/>
      <c r="WRK39" s="6"/>
      <c r="WRL39" s="6"/>
      <c r="WRM39" s="6"/>
      <c r="WRN39" s="6"/>
      <c r="WRO39" s="6"/>
      <c r="WRP39" s="6"/>
      <c r="WRQ39" s="6"/>
      <c r="WRR39" s="6"/>
      <c r="WRS39" s="6"/>
      <c r="WRT39" s="6"/>
      <c r="WRU39" s="6"/>
      <c r="WRV39" s="6"/>
      <c r="WRW39" s="6"/>
      <c r="WRX39" s="6"/>
      <c r="WRY39" s="6"/>
      <c r="WRZ39" s="6"/>
      <c r="WSA39" s="6"/>
      <c r="WSB39" s="6"/>
      <c r="WSC39" s="6"/>
      <c r="WSD39" s="6"/>
      <c r="WSE39" s="6"/>
      <c r="WSF39" s="6"/>
      <c r="WSG39" s="6"/>
      <c r="WSH39" s="6"/>
      <c r="WSI39" s="6"/>
      <c r="WSJ39" s="6"/>
      <c r="WSK39" s="6"/>
      <c r="WSL39" s="6"/>
      <c r="WSM39" s="6"/>
      <c r="WSN39" s="6"/>
      <c r="WSO39" s="6"/>
      <c r="WSP39" s="6"/>
      <c r="WSQ39" s="6"/>
      <c r="WSR39" s="6"/>
      <c r="WSS39" s="6"/>
      <c r="WST39" s="6"/>
      <c r="WSU39" s="6"/>
      <c r="WSV39" s="6"/>
      <c r="WSW39" s="6"/>
      <c r="WSX39" s="6"/>
      <c r="WSY39" s="6"/>
      <c r="WSZ39" s="6"/>
      <c r="WTA39" s="6"/>
      <c r="WTB39" s="6"/>
      <c r="WTC39" s="6"/>
      <c r="WTD39" s="6"/>
      <c r="WTE39" s="6"/>
      <c r="WTF39" s="6"/>
      <c r="WTG39" s="6"/>
      <c r="WTH39" s="6"/>
      <c r="WTI39" s="6"/>
      <c r="WTJ39" s="6"/>
      <c r="WTK39" s="6"/>
      <c r="WTL39" s="6"/>
      <c r="WTM39" s="6"/>
      <c r="WTN39" s="6"/>
      <c r="WTO39" s="6"/>
      <c r="WTP39" s="6"/>
      <c r="WTQ39" s="6"/>
      <c r="WTR39" s="6"/>
      <c r="WTS39" s="6"/>
      <c r="WTT39" s="6"/>
      <c r="WTU39" s="6"/>
      <c r="WTV39" s="6"/>
      <c r="WTW39" s="6"/>
      <c r="WTX39" s="6"/>
      <c r="WTY39" s="6"/>
      <c r="WTZ39" s="6"/>
      <c r="WUA39" s="6"/>
      <c r="WUB39" s="6"/>
      <c r="WUC39" s="6"/>
      <c r="WUD39" s="6"/>
      <c r="WUE39" s="6"/>
      <c r="WUF39" s="6"/>
      <c r="WUG39" s="6"/>
      <c r="WUH39" s="6"/>
      <c r="WUI39" s="6"/>
      <c r="WUJ39" s="6"/>
      <c r="WUK39" s="6"/>
      <c r="WUL39" s="6"/>
      <c r="WUM39" s="6"/>
      <c r="WUN39" s="6"/>
      <c r="WUO39" s="6"/>
      <c r="WUP39" s="6"/>
      <c r="WUQ39" s="6"/>
      <c r="WUR39" s="6"/>
      <c r="WUS39" s="6"/>
      <c r="WUT39" s="6"/>
      <c r="WUU39" s="6"/>
      <c r="WUV39" s="6"/>
      <c r="WUW39" s="6"/>
      <c r="WUX39" s="6"/>
      <c r="WUY39" s="6"/>
      <c r="WUZ39" s="6"/>
      <c r="WVA39" s="6"/>
      <c r="WVB39" s="6"/>
      <c r="WVC39" s="6"/>
      <c r="WVD39" s="6"/>
      <c r="WVE39" s="6"/>
      <c r="WVF39" s="6"/>
      <c r="WVG39" s="6"/>
      <c r="WVH39" s="6"/>
      <c r="WVI39" s="6"/>
      <c r="WVJ39" s="6"/>
      <c r="WVK39" s="6"/>
      <c r="WVL39" s="6"/>
      <c r="WVM39" s="6"/>
      <c r="WVN39" s="6"/>
      <c r="WVO39" s="6"/>
      <c r="WVP39" s="6"/>
      <c r="WVQ39" s="6"/>
      <c r="WVR39" s="6"/>
      <c r="WVS39" s="6"/>
      <c r="WVT39" s="6"/>
      <c r="WVU39" s="6"/>
      <c r="WVV39" s="6"/>
      <c r="WVW39" s="6"/>
      <c r="WVX39" s="6"/>
      <c r="WVY39" s="6"/>
      <c r="WVZ39" s="6"/>
      <c r="WWA39" s="6"/>
      <c r="WWB39" s="6"/>
      <c r="WWC39" s="6"/>
      <c r="WWD39" s="6"/>
      <c r="WWE39" s="6"/>
      <c r="WWF39" s="6"/>
      <c r="WWG39" s="6"/>
      <c r="WWH39" s="6"/>
      <c r="WWI39" s="6"/>
      <c r="WWJ39" s="6"/>
      <c r="WWK39" s="6"/>
      <c r="WWL39" s="6"/>
      <c r="WWM39" s="6"/>
      <c r="WWN39" s="6"/>
      <c r="WWO39" s="6"/>
      <c r="WWP39" s="6"/>
      <c r="WWQ39" s="6"/>
      <c r="WWR39" s="6"/>
      <c r="WWS39" s="6"/>
      <c r="WWT39" s="6"/>
      <c r="WWU39" s="6"/>
      <c r="WWV39" s="6"/>
      <c r="WWW39" s="6"/>
      <c r="WWX39" s="6"/>
      <c r="WWY39" s="6"/>
      <c r="WWZ39" s="6"/>
      <c r="WXA39" s="6"/>
      <c r="WXB39" s="6"/>
      <c r="WXC39" s="6"/>
      <c r="WXD39" s="6"/>
      <c r="WXE39" s="6"/>
      <c r="WXF39" s="6"/>
      <c r="WXG39" s="6"/>
      <c r="WXH39" s="6"/>
      <c r="WXI39" s="6"/>
      <c r="WXJ39" s="6"/>
      <c r="WXK39" s="6"/>
      <c r="WXL39" s="6"/>
      <c r="WXM39" s="6"/>
      <c r="WXN39" s="6"/>
      <c r="WXO39" s="6"/>
      <c r="WXP39" s="6"/>
      <c r="WXQ39" s="6"/>
      <c r="WXR39" s="6"/>
      <c r="WXS39" s="6"/>
      <c r="WXT39" s="6"/>
      <c r="WXU39" s="6"/>
      <c r="WXV39" s="6"/>
      <c r="WXW39" s="6"/>
      <c r="WXX39" s="6"/>
      <c r="WXY39" s="6"/>
      <c r="WXZ39" s="6"/>
      <c r="WYA39" s="6"/>
      <c r="WYB39" s="6"/>
      <c r="WYC39" s="6"/>
      <c r="WYD39" s="6"/>
      <c r="WYE39" s="6"/>
      <c r="WYF39" s="6"/>
      <c r="WYG39" s="6"/>
      <c r="WYH39" s="6"/>
      <c r="WYI39" s="6"/>
      <c r="WYJ39" s="6"/>
      <c r="WYK39" s="6"/>
      <c r="WYL39" s="6"/>
      <c r="WYM39" s="6"/>
      <c r="WYN39" s="6"/>
      <c r="WYO39" s="6"/>
      <c r="WYP39" s="6"/>
      <c r="WYQ39" s="6"/>
      <c r="WYR39" s="6"/>
      <c r="WYS39" s="6"/>
      <c r="WYT39" s="6"/>
      <c r="WYU39" s="6"/>
      <c r="WYV39" s="6"/>
      <c r="WYW39" s="6"/>
      <c r="WYX39" s="6"/>
      <c r="WYY39" s="6"/>
      <c r="WYZ39" s="6"/>
      <c r="WZA39" s="6"/>
      <c r="WZB39" s="6"/>
      <c r="WZC39" s="6"/>
      <c r="WZD39" s="6"/>
      <c r="WZE39" s="6"/>
      <c r="WZF39" s="6"/>
      <c r="WZG39" s="6"/>
      <c r="WZH39" s="6"/>
      <c r="WZI39" s="6"/>
      <c r="WZJ39" s="6"/>
      <c r="WZK39" s="6"/>
      <c r="WZL39" s="6"/>
      <c r="WZM39" s="6"/>
      <c r="WZN39" s="6"/>
      <c r="WZO39" s="6"/>
      <c r="WZP39" s="6"/>
      <c r="WZQ39" s="6"/>
      <c r="WZR39" s="6"/>
      <c r="WZS39" s="6"/>
      <c r="WZT39" s="6"/>
      <c r="WZU39" s="6"/>
      <c r="WZV39" s="6"/>
      <c r="WZW39" s="6"/>
      <c r="WZX39" s="6"/>
      <c r="WZY39" s="6"/>
      <c r="WZZ39" s="6"/>
      <c r="XAA39" s="6"/>
      <c r="XAB39" s="6"/>
      <c r="XAC39" s="6"/>
      <c r="XAD39" s="6"/>
      <c r="XAE39" s="6"/>
      <c r="XAF39" s="6"/>
      <c r="XAG39" s="6"/>
      <c r="XAH39" s="6"/>
      <c r="XAI39" s="6"/>
      <c r="XAJ39" s="6"/>
      <c r="XAK39" s="6"/>
      <c r="XAL39" s="6"/>
      <c r="XAM39" s="6"/>
      <c r="XAN39" s="6"/>
      <c r="XAO39" s="6"/>
      <c r="XAP39" s="6"/>
      <c r="XAQ39" s="6"/>
      <c r="XAR39" s="6"/>
      <c r="XAS39" s="6"/>
      <c r="XAT39" s="6"/>
      <c r="XAU39" s="6"/>
      <c r="XAV39" s="6"/>
      <c r="XAW39" s="6"/>
      <c r="XAX39" s="6"/>
      <c r="XAY39" s="6"/>
      <c r="XAZ39" s="6"/>
      <c r="XBA39" s="6"/>
      <c r="XBB39" s="6"/>
      <c r="XBC39" s="6"/>
      <c r="XBD39" s="6"/>
      <c r="XBE39" s="6"/>
      <c r="XBF39" s="6"/>
      <c r="XBG39" s="6"/>
      <c r="XBH39" s="6"/>
      <c r="XBI39" s="6"/>
      <c r="XBJ39" s="6"/>
      <c r="XBK39" s="6"/>
      <c r="XBL39" s="6"/>
      <c r="XBM39" s="6"/>
      <c r="XBN39" s="6"/>
      <c r="XBO39" s="6"/>
      <c r="XBP39" s="6"/>
      <c r="XBQ39" s="6"/>
      <c r="XBR39" s="6"/>
      <c r="XBS39" s="6"/>
      <c r="XBT39" s="6"/>
      <c r="XBU39" s="6"/>
      <c r="XBV39" s="6"/>
      <c r="XBW39" s="6"/>
      <c r="XBX39" s="6"/>
      <c r="XBY39" s="6"/>
      <c r="XBZ39" s="6"/>
      <c r="XCA39" s="6"/>
      <c r="XCB39" s="6"/>
      <c r="XCC39" s="6"/>
      <c r="XCD39" s="6"/>
      <c r="XCE39" s="6"/>
      <c r="XCF39" s="6"/>
      <c r="XCG39" s="6"/>
      <c r="XCH39" s="6"/>
      <c r="XCI39" s="6"/>
      <c r="XCJ39" s="6"/>
      <c r="XCK39" s="6"/>
      <c r="XCL39" s="6"/>
      <c r="XCM39" s="6"/>
      <c r="XCN39" s="6"/>
      <c r="XCO39" s="6"/>
      <c r="XCP39" s="6"/>
      <c r="XCQ39" s="6"/>
      <c r="XCR39" s="6"/>
      <c r="XCS39" s="6"/>
      <c r="XCT39" s="6"/>
      <c r="XCU39" s="6"/>
      <c r="XCV39" s="6"/>
      <c r="XCW39" s="6"/>
      <c r="XCX39" s="6"/>
      <c r="XCY39" s="6"/>
      <c r="XCZ39" s="6"/>
      <c r="XDA39" s="6"/>
      <c r="XDB39" s="6"/>
      <c r="XDC39" s="6"/>
      <c r="XDD39" s="6"/>
      <c r="XDE39" s="6"/>
      <c r="XDF39" s="6"/>
      <c r="XDG39" s="6"/>
      <c r="XDH39" s="6"/>
      <c r="XDI39" s="6"/>
      <c r="XDJ39" s="6"/>
      <c r="XDK39" s="6"/>
      <c r="XDL39" s="6"/>
      <c r="XDM39" s="6"/>
      <c r="XDN39" s="6"/>
      <c r="XDO39" s="6"/>
      <c r="XDP39" s="6"/>
      <c r="XDQ39" s="6"/>
      <c r="XDR39" s="6"/>
      <c r="XDS39" s="6"/>
      <c r="XDT39" s="6"/>
      <c r="XDU39" s="6"/>
      <c r="XDV39" s="6"/>
      <c r="XDW39" s="6"/>
      <c r="XDX39" s="6"/>
      <c r="XDY39" s="6"/>
      <c r="XDZ39" s="6"/>
      <c r="XEA39" s="6"/>
      <c r="XEB39" s="6"/>
      <c r="XEC39" s="6"/>
      <c r="XED39" s="6"/>
      <c r="XEE39" s="6"/>
      <c r="XEF39" s="6"/>
      <c r="XEG39" s="6"/>
      <c r="XEH39" s="6"/>
      <c r="XEI39" s="6"/>
      <c r="XEJ39" s="6"/>
      <c r="XEK39" s="6"/>
      <c r="XEL39" s="6"/>
      <c r="XEM39" s="6"/>
      <c r="XEN39" s="6"/>
      <c r="XEO39" s="6"/>
      <c r="XEP39" s="6"/>
      <c r="XEQ39" s="6"/>
      <c r="XER39" s="6"/>
      <c r="XES39" s="6"/>
      <c r="XET39" s="6"/>
      <c r="XEU39" s="6"/>
      <c r="XEV39" s="6"/>
      <c r="XEW39" s="6"/>
      <c r="XEX39" s="6"/>
      <c r="XEY39" s="6"/>
      <c r="XEZ39" s="6"/>
      <c r="XFA39" s="6"/>
      <c r="XFB39" s="6"/>
      <c r="XFC39" s="6"/>
    </row>
    <row r="40" spans="1:16383">
      <c r="A40" t="str">
        <f>HYPERLINK(".\links\pep\TI-126-pep.txt","TI-126")</f>
        <v>TI-126</v>
      </c>
      <c r="B40">
        <v>126</v>
      </c>
      <c r="C40" t="s">
        <v>10</v>
      </c>
      <c r="D40">
        <v>265</v>
      </c>
      <c r="E40">
        <v>0</v>
      </c>
      <c r="F40" t="str">
        <f>HYPERLINK(".\links\cds\TI-126-cds.txt","TI-126")</f>
        <v>TI-126</v>
      </c>
      <c r="G40">
        <v>794</v>
      </c>
      <c r="I40" t="s">
        <v>8</v>
      </c>
      <c r="J40" t="s">
        <v>8</v>
      </c>
      <c r="K40">
        <v>2</v>
      </c>
      <c r="L40">
        <v>4</v>
      </c>
      <c r="M40">
        <f t="shared" ref="M40" si="40">K40-L40</f>
        <v>-2</v>
      </c>
      <c r="N40">
        <f t="shared" ref="N40" si="41">ABS(K40-L40)</f>
        <v>2</v>
      </c>
      <c r="O40" t="s">
        <v>1276</v>
      </c>
      <c r="P40" t="s">
        <v>1185</v>
      </c>
      <c r="Q40" t="str">
        <f>HYPERLINK(".\links\GO\TI-126-GO.txt","GO")</f>
        <v>GO</v>
      </c>
      <c r="R40" s="3">
        <v>1.9999999999999999E-47</v>
      </c>
      <c r="S40">
        <v>69.7</v>
      </c>
      <c r="T40" t="str">
        <f>HYPERLINK(".\links\NR-LIGHT\TI-126-NR-LIGHT.txt","NADH dehydrogenase subunit I")</f>
        <v>NADH dehydrogenase subunit I</v>
      </c>
      <c r="U40" t="str">
        <f>HYPERLINK("http://www.ncbi.nlm.nih.gov/sutils/blink.cgi?pid=291621807","1E-126")</f>
        <v>1E-126</v>
      </c>
      <c r="V40" t="str">
        <f>HYPERLINK("http://www.ncbi.nlm.nih.gov/protein/291621807","gi|291621807")</f>
        <v>gi|291621807</v>
      </c>
      <c r="W40">
        <v>454</v>
      </c>
      <c r="X40">
        <v>260</v>
      </c>
      <c r="Y40">
        <v>303</v>
      </c>
      <c r="Z40">
        <v>89</v>
      </c>
      <c r="AA40">
        <v>86</v>
      </c>
      <c r="AB40">
        <v>28</v>
      </c>
      <c r="AC40">
        <v>0</v>
      </c>
      <c r="AD40">
        <v>1</v>
      </c>
      <c r="AE40">
        <v>2</v>
      </c>
      <c r="AF40">
        <v>1</v>
      </c>
      <c r="AH40" t="s">
        <v>13</v>
      </c>
      <c r="AI40" t="s">
        <v>51</v>
      </c>
      <c r="AJ40" t="s">
        <v>273</v>
      </c>
      <c r="AK40" t="str">
        <f>HYPERLINK(".\links\SWISSP\TI-126-SWISSP.txt","NADH-ubiquinone oxidoreductase chain 1 OS=Anopheles quadrimaculatus GN=ND1 PE=3")</f>
        <v>NADH-ubiquinone oxidoreductase chain 1 OS=Anopheles quadrimaculatus GN=ND1 PE=3</v>
      </c>
      <c r="AL40" t="str">
        <f>HYPERLINK("http://www.uniprot.org/uniprot/P33502","5E-089")</f>
        <v>5E-089</v>
      </c>
      <c r="AM40" t="s">
        <v>142</v>
      </c>
      <c r="AN40">
        <v>327</v>
      </c>
      <c r="AO40">
        <v>260</v>
      </c>
      <c r="AP40">
        <v>314</v>
      </c>
      <c r="AQ40">
        <v>61</v>
      </c>
      <c r="AR40">
        <v>83</v>
      </c>
      <c r="AS40">
        <v>101</v>
      </c>
      <c r="AT40">
        <v>0</v>
      </c>
      <c r="AU40">
        <v>8</v>
      </c>
      <c r="AV40">
        <v>2</v>
      </c>
      <c r="AW40">
        <v>1</v>
      </c>
      <c r="AX40" t="s">
        <v>143</v>
      </c>
      <c r="AY40" t="str">
        <f>HYPERLINK(".\links\PREV-RHOD-PEP\TI-126-PREV-RHOD-PEP.txt","Contig22712_1")</f>
        <v>Contig22712_1</v>
      </c>
      <c r="AZ40" s="3">
        <v>6E-11</v>
      </c>
      <c r="BA40" t="s">
        <v>1057</v>
      </c>
      <c r="BB40">
        <v>63.9</v>
      </c>
      <c r="BC40">
        <v>32</v>
      </c>
      <c r="BD40">
        <v>33</v>
      </c>
      <c r="BE40">
        <v>96</v>
      </c>
      <c r="BF40">
        <v>100</v>
      </c>
      <c r="BG40">
        <v>1</v>
      </c>
      <c r="BH40">
        <v>0</v>
      </c>
      <c r="BI40">
        <v>1</v>
      </c>
      <c r="BJ40">
        <v>110</v>
      </c>
      <c r="BK40">
        <v>1</v>
      </c>
      <c r="BL40" t="s">
        <v>627</v>
      </c>
      <c r="BM40">
        <f>HYPERLINK(".\links\GO\TI-126-GO.txt",4E-81)</f>
        <v>3.9999999999999998E-81</v>
      </c>
      <c r="BN40" t="s">
        <v>373</v>
      </c>
      <c r="BO40" t="s">
        <v>373</v>
      </c>
      <c r="BQ40" t="s">
        <v>374</v>
      </c>
      <c r="BR40" s="3">
        <v>6.0000000000000002E-54</v>
      </c>
      <c r="BS40" t="s">
        <v>608</v>
      </c>
      <c r="BT40" t="s">
        <v>323</v>
      </c>
      <c r="BU40" t="s">
        <v>334</v>
      </c>
      <c r="BV40" t="s">
        <v>609</v>
      </c>
      <c r="BW40" s="3">
        <v>6.0000000000000002E-54</v>
      </c>
      <c r="BX40" t="s">
        <v>628</v>
      </c>
      <c r="BY40" t="s">
        <v>373</v>
      </c>
      <c r="CA40" t="s">
        <v>629</v>
      </c>
      <c r="CB40" s="3">
        <v>6.0000000000000002E-54</v>
      </c>
      <c r="CC40" t="s">
        <v>8</v>
      </c>
      <c r="CF40" t="s">
        <v>8</v>
      </c>
      <c r="CI40" t="s">
        <v>8</v>
      </c>
      <c r="CK40" t="s">
        <v>8</v>
      </c>
      <c r="CM40" t="s">
        <v>8</v>
      </c>
      <c r="CO40" t="str">
        <f>HYPERLINK(".\links\MIT-PLA\TI-126-MIT-PLA.txt","Triatoma infestans clone TI-62 NADH dehydrogenase subunit 1 mRNA, complete cds;")</f>
        <v>Triatoma infestans clone TI-62 NADH dehydrogenase subunit 1 mRNA, complete cds;</v>
      </c>
      <c r="CP40" t="str">
        <f>HYPERLINK("http://www.ncbi.nlm.nih.gov/entrez/viewer.fcgi?db=nucleotide&amp;val=149898870","1E-116")</f>
        <v>1E-116</v>
      </c>
      <c r="CQ40" t="str">
        <f>HYPERLINK("http://www.ncbi.nlm.nih.gov/entrez/viewer.fcgi?db=nucleotide&amp;val=149898870","gi|149898870")</f>
        <v>gi|149898870</v>
      </c>
      <c r="CR40">
        <v>414</v>
      </c>
      <c r="CS40">
        <v>713</v>
      </c>
      <c r="CT40">
        <v>870</v>
      </c>
      <c r="CU40">
        <v>99</v>
      </c>
      <c r="CV40">
        <v>82</v>
      </c>
      <c r="CW40">
        <v>2</v>
      </c>
      <c r="CX40">
        <v>0</v>
      </c>
      <c r="CY40">
        <v>1</v>
      </c>
      <c r="CZ40">
        <v>4</v>
      </c>
      <c r="DA40">
        <v>3</v>
      </c>
      <c r="DB40" t="s">
        <v>51</v>
      </c>
      <c r="DC40" t="str">
        <f>HYPERLINK(".\links\RRNA\TI-126-RRNA.txt","Carpilius sp. SR20 mitochondrial 16S rRNA gene (partial), tRNA-Leu gene and")</f>
        <v>Carpilius sp. SR20 mitochondrial 16S rRNA gene (partial), tRNA-Leu gene and</v>
      </c>
      <c r="DD40" t="str">
        <f>HYPERLINK("http://www.ncbi.nlm.nih.gov/entrez/viewer.fcgi?db=nucleotide&amp;val=312827980","3E-012")</f>
        <v>3E-012</v>
      </c>
      <c r="DE40" t="str">
        <f>HYPERLINK("http://www.ncbi.nlm.nih.gov/entrez/viewer.fcgi?db=nucleotide&amp;val=312827980","gi|312827980")</f>
        <v>gi|312827980</v>
      </c>
      <c r="DF40">
        <v>71.900000000000006</v>
      </c>
      <c r="DG40">
        <v>71</v>
      </c>
      <c r="DH40">
        <v>1161</v>
      </c>
      <c r="DI40">
        <v>87</v>
      </c>
      <c r="DJ40">
        <v>6</v>
      </c>
      <c r="DK40">
        <v>9</v>
      </c>
      <c r="DL40">
        <v>0</v>
      </c>
      <c r="DM40">
        <v>827</v>
      </c>
      <c r="DN40">
        <v>80</v>
      </c>
      <c r="DO40">
        <v>1</v>
      </c>
      <c r="DP40" t="s">
        <v>51</v>
      </c>
    </row>
    <row r="41" spans="1:16383">
      <c r="M41" s="3"/>
    </row>
    <row r="42" spans="1:16383">
      <c r="M42" s="3"/>
    </row>
    <row r="44" spans="1:16383">
      <c r="M44" s="3"/>
    </row>
    <row r="45" spans="1:16383">
      <c r="M45" s="3"/>
    </row>
    <row r="54" spans="13:13">
      <c r="M54" s="3"/>
    </row>
    <row r="56" spans="13:13">
      <c r="M56" s="3"/>
    </row>
    <row r="67" spans="13:13">
      <c r="M67" s="3"/>
    </row>
    <row r="69" spans="13:13">
      <c r="M69" s="3"/>
    </row>
    <row r="71" spans="13:13">
      <c r="M71" s="3"/>
    </row>
    <row r="72" spans="13:13">
      <c r="M72" s="3"/>
    </row>
    <row r="75" spans="13:13">
      <c r="M75" s="3"/>
    </row>
    <row r="76" spans="13:13">
      <c r="M76" s="3"/>
    </row>
  </sheetData>
  <sortState ref="A2:DR23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&lt;5%X</vt:lpstr>
      <vt:lpstr>TI-pep-all</vt:lpstr>
      <vt:lpstr>up-reg</vt:lpstr>
      <vt:lpstr>down-reg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ASTanaka</dc:creator>
  <cp:lastModifiedBy>ASTanaka</cp:lastModifiedBy>
  <dcterms:created xsi:type="dcterms:W3CDTF">2012-01-11T19:45:01Z</dcterms:created>
  <dcterms:modified xsi:type="dcterms:W3CDTF">2012-06-25T00:18:57Z</dcterms:modified>
</cp:coreProperties>
</file>