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Readme" sheetId="682" r:id="rId1"/>
    <sheet name="AA_T_pho_ty" sheetId="910" r:id="rId2"/>
    <sheet name="AA_pho_A" sheetId="911" r:id="rId3"/>
    <sheet name="AA_pho_ind" sheetId="912" r:id="rId4"/>
    <sheet name="AA_pho_pat" sheetId="913" r:id="rId5"/>
    <sheet name="AA_T_pho_den" sheetId="914" r:id="rId6"/>
    <sheet name="AA_S_pho_den" sheetId="915" r:id="rId7"/>
    <sheet name="AA_T_phi_ty" sheetId="916" r:id="rId8"/>
    <sheet name="AA_phi_A" sheetId="917" r:id="rId9"/>
    <sheet name="AA_phi_ind" sheetId="918" r:id="rId10"/>
    <sheet name="AA_phi_pat" sheetId="919" r:id="rId11"/>
    <sheet name="AA_T_phi_den" sheetId="920" r:id="rId12"/>
    <sheet name="AA_S_phi_den" sheetId="921" r:id="rId13"/>
    <sheet name="AA_T_amphi_ty" sheetId="922" r:id="rId14"/>
    <sheet name="AA_amphi_den" sheetId="923" r:id="rId15"/>
    <sheet name="AA_R_phophi_ty" sheetId="924" r:id="rId16"/>
    <sheet name=" AA_R_phoamp_ty " sheetId="925" r:id="rId17"/>
    <sheet name="AA_R_phophi_A" sheetId="926" r:id="rId18"/>
    <sheet name="Chg_T_pos" sheetId="944" r:id="rId19"/>
    <sheet name="Chg_pos_A" sheetId="945" r:id="rId20"/>
    <sheet name="Chg_T_pos_den " sheetId="946" r:id="rId21"/>
    <sheet name="Chg_S_pos_den" sheetId="947" r:id="rId22"/>
    <sheet name="Chg_T_neg" sheetId="948" r:id="rId23"/>
    <sheet name="Chg_neg_A" sheetId="949" r:id="rId24"/>
    <sheet name="Chg_T_neg_den " sheetId="950" r:id="rId25"/>
    <sheet name="Chg_S_neg_den" sheetId="951" r:id="rId26"/>
    <sheet name="Chg_T" sheetId="952" r:id="rId27"/>
    <sheet name="Chg_T_den " sheetId="953" r:id="rId28"/>
    <sheet name=" Chg_R_posneg " sheetId="954" r:id="rId29"/>
    <sheet name="Chg_R_pos_tchg " sheetId="955" r:id="rId30"/>
    <sheet name="Chg_R_posneg_A " sheetId="956" r:id="rId31"/>
    <sheet name="T_A" sheetId="957" r:id="rId32"/>
    <sheet name="Shape_factor" sheetId="958" r:id="rId33"/>
    <sheet name="AA1.4" sheetId="797" r:id="rId34"/>
    <sheet name="AA2" sheetId="811" r:id="rId35"/>
    <sheet name="AA3" sheetId="813" r:id="rId36"/>
    <sheet name="AA4" sheetId="814" r:id="rId37"/>
    <sheet name="AA5" sheetId="819" r:id="rId38"/>
    <sheet name="AA6" sheetId="818" r:id="rId39"/>
    <sheet name="AA7" sheetId="817" r:id="rId40"/>
    <sheet name="AA8" sheetId="816" r:id="rId41"/>
    <sheet name="AA9" sheetId="815" r:id="rId42"/>
    <sheet name="AA10" sheetId="820" r:id="rId43"/>
    <sheet name="AA11" sheetId="826" r:id="rId44"/>
    <sheet name="AA12" sheetId="825" r:id="rId45"/>
    <sheet name="AA13" sheetId="824" r:id="rId46"/>
    <sheet name="AA14" sheetId="823" r:id="rId47"/>
    <sheet name="AA15" sheetId="822" r:id="rId48"/>
    <sheet name="AA16" sheetId="821" r:id="rId49"/>
    <sheet name="AA17" sheetId="828" r:id="rId50"/>
    <sheet name="AA18" sheetId="829" r:id="rId51"/>
    <sheet name="AA19" sheetId="827" r:id="rId52"/>
    <sheet name="AA20" sheetId="830" r:id="rId53"/>
  </sheets>
  <calcPr calcId="125725"/>
</workbook>
</file>

<file path=xl/calcChain.xml><?xml version="1.0" encoding="utf-8"?>
<calcChain xmlns="http://schemas.openxmlformats.org/spreadsheetml/2006/main">
  <c r="U1" i="95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0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9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0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9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0"/>
  <c r="T1"/>
  <c r="S1"/>
  <c r="R1"/>
  <c r="Q1"/>
  <c r="P1"/>
  <c r="O1"/>
  <c r="N1"/>
  <c r="M1"/>
  <c r="L1"/>
  <c r="K1"/>
  <c r="J1"/>
  <c r="I1"/>
  <c r="H1"/>
  <c r="G1"/>
  <c r="F1"/>
  <c r="E1"/>
  <c r="D1"/>
  <c r="C1"/>
  <c r="B1"/>
</calcChain>
</file>

<file path=xl/sharedStrings.xml><?xml version="1.0" encoding="utf-8"?>
<sst xmlns="http://schemas.openxmlformats.org/spreadsheetml/2006/main" count="828" uniqueCount="59">
  <si>
    <t>1Y4G</t>
  </si>
  <si>
    <t>1Y4F</t>
  </si>
  <si>
    <t>1A01</t>
  </si>
  <si>
    <t>1Y4P</t>
  </si>
  <si>
    <t>1A00</t>
  </si>
  <si>
    <t>1A0U</t>
  </si>
  <si>
    <t>1A0Z</t>
  </si>
  <si>
    <t>Positive charged area</t>
  </si>
  <si>
    <t>Total + charge</t>
  </si>
  <si>
    <t>average + charge</t>
  </si>
  <si>
    <t>Negative charged area</t>
  </si>
  <si>
    <t>Total - charge</t>
  </si>
  <si>
    <t>average - charge</t>
  </si>
  <si>
    <t>total surface charged</t>
  </si>
  <si>
    <t>Average surface charge</t>
  </si>
  <si>
    <t>Hydrophilic area</t>
  </si>
  <si>
    <t>Hydrophilicity index</t>
  </si>
  <si>
    <t>Hydrophilicity patch</t>
  </si>
  <si>
    <t>Hydrophobic area</t>
  </si>
  <si>
    <t>Hydrophobicity index</t>
  </si>
  <si>
    <t>Hydrophobicity patch</t>
  </si>
  <si>
    <t>Total hydrophobicity</t>
  </si>
  <si>
    <t>Total hydrophilicity</t>
  </si>
  <si>
    <t>AA</t>
  </si>
  <si>
    <t>Chg</t>
  </si>
  <si>
    <t>1st field</t>
  </si>
  <si>
    <t>2nd field</t>
  </si>
  <si>
    <t>T</t>
  </si>
  <si>
    <t>means Total</t>
  </si>
  <si>
    <t>pho</t>
  </si>
  <si>
    <t>phi</t>
  </si>
  <si>
    <t>amphi</t>
  </si>
  <si>
    <t>R</t>
  </si>
  <si>
    <t>S</t>
  </si>
  <si>
    <t>3rd field</t>
  </si>
  <si>
    <t>ty</t>
  </si>
  <si>
    <t>refers to the actual property</t>
  </si>
  <si>
    <t>A</t>
  </si>
  <si>
    <t>refers to the respective area</t>
  </si>
  <si>
    <t>Na</t>
  </si>
  <si>
    <t>Area</t>
  </si>
  <si>
    <t>PDB ID</t>
  </si>
  <si>
    <t>1Y46</t>
  </si>
  <si>
    <t>General information</t>
  </si>
  <si>
    <t>Each sheet presents the results of probing protein molecular surface with probe radii from 1.4 A to 20 A</t>
  </si>
  <si>
    <t>There are two sets of worksheets, the first organised by property measured, the second organised by probing radii</t>
  </si>
  <si>
    <t>The sheets containing information organised by property (set 1) also contains two charts, for comparison: one (smaller) with the data presented in the manuscript; and one with all data (35 proteins)</t>
  </si>
  <si>
    <t>A. Worsheets containing values organised along molecular surface-derived properties</t>
  </si>
  <si>
    <t>The sheet name contains 3 fields</t>
  </si>
  <si>
    <t>means Amino Acid-based property, i.e., hydrophobicity, hydrophilicity and amphiphilicity</t>
  </si>
  <si>
    <t>means Charge-based data</t>
  </si>
  <si>
    <t>means Ratio</t>
  </si>
  <si>
    <t>means Specific</t>
  </si>
  <si>
    <t>means Hydrophobicity</t>
  </si>
  <si>
    <t>means Hydrophilicity</t>
  </si>
  <si>
    <t>means Amphiphilicity</t>
  </si>
  <si>
    <t>B. Worsheets containing values organised along probing radii</t>
  </si>
  <si>
    <t>The sheet name contain 1 field: AA_number, [number] = radius of the probe</t>
  </si>
  <si>
    <t>This file presents the full results for the Hemoglobin subset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</si>
</sst>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AA_T_pho_ty!$A$3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AA_T_pho_ty!$B$3:$U$3</c:f>
              <c:numCache>
                <c:formatCode>General</c:formatCode>
                <c:ptCount val="20"/>
                <c:pt idx="0">
                  <c:v>-20.455390000000001</c:v>
                </c:pt>
                <c:pt idx="1">
                  <c:v>-10.10633</c:v>
                </c:pt>
                <c:pt idx="2">
                  <c:v>-3.4618890000000002</c:v>
                </c:pt>
                <c:pt idx="3">
                  <c:v>-1.6866890000000001</c:v>
                </c:pt>
                <c:pt idx="4">
                  <c:v>-1.0435110000000001</c:v>
                </c:pt>
                <c:pt idx="5">
                  <c:v>-0.6055739</c:v>
                </c:pt>
                <c:pt idx="6">
                  <c:v>-0.49883119999999997</c:v>
                </c:pt>
                <c:pt idx="7">
                  <c:v>-0.40799839999999998</c:v>
                </c:pt>
                <c:pt idx="8">
                  <c:v>-0.31368869999999999</c:v>
                </c:pt>
                <c:pt idx="9">
                  <c:v>-0.26087660000000001</c:v>
                </c:pt>
                <c:pt idx="10">
                  <c:v>-0.25289030000000001</c:v>
                </c:pt>
                <c:pt idx="11">
                  <c:v>-0.2232297</c:v>
                </c:pt>
                <c:pt idx="12">
                  <c:v>-0.19980490000000001</c:v>
                </c:pt>
                <c:pt idx="13">
                  <c:v>-0.18044879999999999</c:v>
                </c:pt>
                <c:pt idx="14">
                  <c:v>-0.16676450000000001</c:v>
                </c:pt>
                <c:pt idx="15">
                  <c:v>-0.15539819999999999</c:v>
                </c:pt>
                <c:pt idx="16">
                  <c:v>-0.12570290000000001</c:v>
                </c:pt>
                <c:pt idx="17">
                  <c:v>-0.1234431</c:v>
                </c:pt>
                <c:pt idx="18">
                  <c:v>-0.1210084</c:v>
                </c:pt>
                <c:pt idx="19">
                  <c:v>-0.1154448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AA_T_pho_ty!$A$4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AA_T_pho_ty!$B$4:$U$4</c:f>
              <c:numCache>
                <c:formatCode>General</c:formatCode>
                <c:ptCount val="20"/>
                <c:pt idx="0">
                  <c:v>-20.759740000000001</c:v>
                </c:pt>
                <c:pt idx="1">
                  <c:v>-10.28342</c:v>
                </c:pt>
                <c:pt idx="2">
                  <c:v>-3.5688710000000001</c:v>
                </c:pt>
                <c:pt idx="3">
                  <c:v>-1.6877610000000001</c:v>
                </c:pt>
                <c:pt idx="4">
                  <c:v>-1.029563</c:v>
                </c:pt>
                <c:pt idx="5">
                  <c:v>-0.65205040000000003</c:v>
                </c:pt>
                <c:pt idx="6">
                  <c:v>-0.50719879999999995</c:v>
                </c:pt>
                <c:pt idx="7">
                  <c:v>-0.40766669999999999</c:v>
                </c:pt>
                <c:pt idx="8">
                  <c:v>-0.33774579999999998</c:v>
                </c:pt>
                <c:pt idx="9">
                  <c:v>-0.28397810000000001</c:v>
                </c:pt>
                <c:pt idx="10">
                  <c:v>-0.26904040000000001</c:v>
                </c:pt>
                <c:pt idx="11">
                  <c:v>-0.24157219999999999</c:v>
                </c:pt>
                <c:pt idx="12">
                  <c:v>-0.2016163</c:v>
                </c:pt>
                <c:pt idx="13">
                  <c:v>-0.18185770000000001</c:v>
                </c:pt>
                <c:pt idx="14">
                  <c:v>-0.17026849999999999</c:v>
                </c:pt>
                <c:pt idx="15">
                  <c:v>-0.15314030000000001</c:v>
                </c:pt>
                <c:pt idx="16">
                  <c:v>-0.13851459999999999</c:v>
                </c:pt>
                <c:pt idx="17">
                  <c:v>-0.1269412</c:v>
                </c:pt>
                <c:pt idx="18">
                  <c:v>-0.1183269</c:v>
                </c:pt>
                <c:pt idx="19">
                  <c:v>-0.11463379999999999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AA_T_pho_ty!$A$5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AA_T_pho_ty!$B$5:$U$5</c:f>
              <c:numCache>
                <c:formatCode>General</c:formatCode>
                <c:ptCount val="20"/>
                <c:pt idx="0">
                  <c:v>-19.66555</c:v>
                </c:pt>
                <c:pt idx="1">
                  <c:v>-9.5884129999999992</c:v>
                </c:pt>
                <c:pt idx="2">
                  <c:v>-3.3747159999999998</c:v>
                </c:pt>
                <c:pt idx="3">
                  <c:v>-1.672437</c:v>
                </c:pt>
                <c:pt idx="4">
                  <c:v>-1.0245740000000001</c:v>
                </c:pt>
                <c:pt idx="5">
                  <c:v>-0.65184059999999999</c:v>
                </c:pt>
                <c:pt idx="6">
                  <c:v>-0.48954760000000003</c:v>
                </c:pt>
                <c:pt idx="7">
                  <c:v>-0.37926779999999999</c:v>
                </c:pt>
                <c:pt idx="8">
                  <c:v>-0.29458079999999998</c:v>
                </c:pt>
                <c:pt idx="9">
                  <c:v>-0.2506543</c:v>
                </c:pt>
                <c:pt idx="10">
                  <c:v>-0.24718290000000001</c:v>
                </c:pt>
                <c:pt idx="11">
                  <c:v>-0.2296233</c:v>
                </c:pt>
                <c:pt idx="12">
                  <c:v>-0.2020391</c:v>
                </c:pt>
                <c:pt idx="13">
                  <c:v>-0.19195110000000001</c:v>
                </c:pt>
                <c:pt idx="14">
                  <c:v>-0.16952020000000001</c:v>
                </c:pt>
                <c:pt idx="15">
                  <c:v>-0.1506247</c:v>
                </c:pt>
                <c:pt idx="16">
                  <c:v>-0.1371945</c:v>
                </c:pt>
                <c:pt idx="17">
                  <c:v>-0.13053989999999999</c:v>
                </c:pt>
                <c:pt idx="18">
                  <c:v>-0.1286014</c:v>
                </c:pt>
                <c:pt idx="19">
                  <c:v>-0.1267441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AA_T_pho_ty!$A$6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AA_T_pho_ty!$B$6:$U$6</c:f>
              <c:numCache>
                <c:formatCode>General</c:formatCode>
                <c:ptCount val="20"/>
                <c:pt idx="0">
                  <c:v>-20.332830000000001</c:v>
                </c:pt>
                <c:pt idx="1">
                  <c:v>-10.10697</c:v>
                </c:pt>
                <c:pt idx="2">
                  <c:v>-3.462799</c:v>
                </c:pt>
                <c:pt idx="3">
                  <c:v>-1.6737379999999999</c:v>
                </c:pt>
                <c:pt idx="4">
                  <c:v>-0.99541610000000003</c:v>
                </c:pt>
                <c:pt idx="5">
                  <c:v>-0.62036049999999998</c:v>
                </c:pt>
                <c:pt idx="6">
                  <c:v>-0.50241440000000004</c:v>
                </c:pt>
                <c:pt idx="7">
                  <c:v>-0.3822816</c:v>
                </c:pt>
                <c:pt idx="8">
                  <c:v>-0.31148759999999998</c:v>
                </c:pt>
                <c:pt idx="9">
                  <c:v>-0.25236019999999998</c:v>
                </c:pt>
                <c:pt idx="10">
                  <c:v>-0.25221830000000001</c:v>
                </c:pt>
                <c:pt idx="11">
                  <c:v>-0.22490109999999999</c:v>
                </c:pt>
                <c:pt idx="12">
                  <c:v>-0.19447629999999999</c:v>
                </c:pt>
                <c:pt idx="13">
                  <c:v>-0.180344</c:v>
                </c:pt>
                <c:pt idx="14">
                  <c:v>-0.1704386</c:v>
                </c:pt>
                <c:pt idx="15">
                  <c:v>-0.1502455</c:v>
                </c:pt>
                <c:pt idx="16">
                  <c:v>-0.1332535</c:v>
                </c:pt>
                <c:pt idx="17">
                  <c:v>-0.13119990000000001</c:v>
                </c:pt>
                <c:pt idx="18">
                  <c:v>-0.1206851</c:v>
                </c:pt>
                <c:pt idx="19">
                  <c:v>-0.111272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AA_T_pho_ty!$A$7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AA_T_pho_ty!$B$7:$U$7</c:f>
              <c:numCache>
                <c:formatCode>General</c:formatCode>
                <c:ptCount val="20"/>
                <c:pt idx="0">
                  <c:v>-20.03171</c:v>
                </c:pt>
                <c:pt idx="1">
                  <c:v>-9.9358769999999996</c:v>
                </c:pt>
                <c:pt idx="2">
                  <c:v>-3.4995699999999998</c:v>
                </c:pt>
                <c:pt idx="3">
                  <c:v>-1.7884949999999999</c:v>
                </c:pt>
                <c:pt idx="4">
                  <c:v>-1.1074980000000001</c:v>
                </c:pt>
                <c:pt idx="5">
                  <c:v>-0.70822410000000002</c:v>
                </c:pt>
                <c:pt idx="6">
                  <c:v>-0.52412590000000003</c:v>
                </c:pt>
                <c:pt idx="7">
                  <c:v>-0.43174489999999999</c:v>
                </c:pt>
                <c:pt idx="8">
                  <c:v>-0.3369238</c:v>
                </c:pt>
                <c:pt idx="9">
                  <c:v>-0.28774660000000002</c:v>
                </c:pt>
                <c:pt idx="10">
                  <c:v>-0.26663150000000002</c:v>
                </c:pt>
                <c:pt idx="11">
                  <c:v>-0.2478245</c:v>
                </c:pt>
                <c:pt idx="12">
                  <c:v>-0.2083402</c:v>
                </c:pt>
                <c:pt idx="13">
                  <c:v>-0.1831219</c:v>
                </c:pt>
                <c:pt idx="14">
                  <c:v>-0.16549159999999999</c:v>
                </c:pt>
                <c:pt idx="15">
                  <c:v>-0.156338</c:v>
                </c:pt>
                <c:pt idx="16">
                  <c:v>-0.14062469999999999</c:v>
                </c:pt>
                <c:pt idx="17">
                  <c:v>-0.1387516</c:v>
                </c:pt>
                <c:pt idx="18">
                  <c:v>-0.1351879</c:v>
                </c:pt>
                <c:pt idx="19">
                  <c:v>-0.12614069999999999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AA_T_pho_ty!$A$8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AA_T_pho_ty!$B$8:$U$8</c:f>
              <c:numCache>
                <c:formatCode>General</c:formatCode>
                <c:ptCount val="20"/>
                <c:pt idx="0">
                  <c:v>-20.698329999999999</c:v>
                </c:pt>
                <c:pt idx="1">
                  <c:v>-10.4489</c:v>
                </c:pt>
                <c:pt idx="2">
                  <c:v>-3.697276</c:v>
                </c:pt>
                <c:pt idx="3">
                  <c:v>-1.777161</c:v>
                </c:pt>
                <c:pt idx="4">
                  <c:v>-1.114781</c:v>
                </c:pt>
                <c:pt idx="5">
                  <c:v>-0.71003019999999994</c:v>
                </c:pt>
                <c:pt idx="6">
                  <c:v>-0.53981939999999995</c:v>
                </c:pt>
                <c:pt idx="7">
                  <c:v>-0.43188799999999999</c:v>
                </c:pt>
                <c:pt idx="8">
                  <c:v>-0.33931080000000002</c:v>
                </c:pt>
                <c:pt idx="9">
                  <c:v>-0.27556920000000001</c:v>
                </c:pt>
                <c:pt idx="10">
                  <c:v>-0.24249799999999999</c:v>
                </c:pt>
                <c:pt idx="11">
                  <c:v>-0.22973150000000001</c:v>
                </c:pt>
                <c:pt idx="12">
                  <c:v>-0.17803620000000001</c:v>
                </c:pt>
                <c:pt idx="13">
                  <c:v>-0.16463559999999999</c:v>
                </c:pt>
                <c:pt idx="14">
                  <c:v>-0.1459512</c:v>
                </c:pt>
                <c:pt idx="15">
                  <c:v>-0.14314789999999999</c:v>
                </c:pt>
                <c:pt idx="16">
                  <c:v>-0.1343741</c:v>
                </c:pt>
                <c:pt idx="17">
                  <c:v>-0.12673899999999999</c:v>
                </c:pt>
                <c:pt idx="18">
                  <c:v>-0.122125</c:v>
                </c:pt>
                <c:pt idx="19">
                  <c:v>-0.1070538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AA_T_pho_ty!$A$9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AA_T_pho_ty!$B$9:$U$9</c:f>
              <c:numCache>
                <c:formatCode>General</c:formatCode>
                <c:ptCount val="20"/>
                <c:pt idx="0">
                  <c:v>-21.17202</c:v>
                </c:pt>
                <c:pt idx="1">
                  <c:v>-10.515000000000001</c:v>
                </c:pt>
                <c:pt idx="2">
                  <c:v>-3.7633770000000002</c:v>
                </c:pt>
                <c:pt idx="3">
                  <c:v>-1.9602390000000001</c:v>
                </c:pt>
                <c:pt idx="4">
                  <c:v>-1.2064379999999999</c:v>
                </c:pt>
                <c:pt idx="5">
                  <c:v>-0.79206259999999995</c:v>
                </c:pt>
                <c:pt idx="6">
                  <c:v>-0.61461849999999996</c:v>
                </c:pt>
                <c:pt idx="7">
                  <c:v>-0.47044530000000001</c:v>
                </c:pt>
                <c:pt idx="8">
                  <c:v>-0.4155895</c:v>
                </c:pt>
                <c:pt idx="9">
                  <c:v>-0.31841700000000001</c:v>
                </c:pt>
                <c:pt idx="10">
                  <c:v>-0.29629949999999999</c:v>
                </c:pt>
                <c:pt idx="11">
                  <c:v>-0.24769040000000001</c:v>
                </c:pt>
                <c:pt idx="12">
                  <c:v>-0.2088894</c:v>
                </c:pt>
                <c:pt idx="13">
                  <c:v>-0.1912962</c:v>
                </c:pt>
                <c:pt idx="14">
                  <c:v>-0.17769460000000001</c:v>
                </c:pt>
                <c:pt idx="15">
                  <c:v>-0.16986609999999999</c:v>
                </c:pt>
                <c:pt idx="16">
                  <c:v>-0.15991910000000001</c:v>
                </c:pt>
                <c:pt idx="17">
                  <c:v>-0.1347043</c:v>
                </c:pt>
                <c:pt idx="18">
                  <c:v>-0.13264780000000001</c:v>
                </c:pt>
                <c:pt idx="19">
                  <c:v>-0.1233496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AA_T_pho_ty!$A$10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AA_T_pho_ty!$B$10:$U$10</c:f>
              <c:numCache>
                <c:formatCode>General</c:formatCode>
                <c:ptCount val="20"/>
                <c:pt idx="0">
                  <c:v>-20.699950000000001</c:v>
                </c:pt>
                <c:pt idx="1">
                  <c:v>-10.47645</c:v>
                </c:pt>
                <c:pt idx="2">
                  <c:v>-3.7582230000000001</c:v>
                </c:pt>
                <c:pt idx="3">
                  <c:v>-1.9340980000000001</c:v>
                </c:pt>
                <c:pt idx="4">
                  <c:v>-1.1966300000000001</c:v>
                </c:pt>
                <c:pt idx="5">
                  <c:v>-0.7883945</c:v>
                </c:pt>
                <c:pt idx="6">
                  <c:v>-0.58440080000000005</c:v>
                </c:pt>
                <c:pt idx="7">
                  <c:v>-0.47616190000000003</c:v>
                </c:pt>
                <c:pt idx="8">
                  <c:v>-0.40568959999999998</c:v>
                </c:pt>
                <c:pt idx="9">
                  <c:v>-0.29828379999999999</c:v>
                </c:pt>
                <c:pt idx="10">
                  <c:v>-0.26290210000000003</c:v>
                </c:pt>
                <c:pt idx="11">
                  <c:v>-0.2264137</c:v>
                </c:pt>
                <c:pt idx="12">
                  <c:v>-0.1911052</c:v>
                </c:pt>
                <c:pt idx="13">
                  <c:v>-0.16636699999999999</c:v>
                </c:pt>
                <c:pt idx="14">
                  <c:v>-0.1491265</c:v>
                </c:pt>
                <c:pt idx="15">
                  <c:v>-0.1409107</c:v>
                </c:pt>
                <c:pt idx="16">
                  <c:v>-0.12996269999999999</c:v>
                </c:pt>
                <c:pt idx="17">
                  <c:v>-0.12558659999999999</c:v>
                </c:pt>
                <c:pt idx="18">
                  <c:v>-0.1271658</c:v>
                </c:pt>
                <c:pt idx="19">
                  <c:v>-0.1179572</c:v>
                </c:pt>
              </c:numCache>
            </c:numRef>
          </c:yVal>
          <c:smooth val="1"/>
        </c:ser>
        <c:axId val="64439040"/>
        <c:axId val="64440960"/>
      </c:scatterChart>
      <c:valAx>
        <c:axId val="6443904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440960"/>
        <c:crosses val="autoZero"/>
        <c:crossBetween val="midCat"/>
      </c:valAx>
      <c:valAx>
        <c:axId val="64440960"/>
        <c:scaling>
          <c:orientation val="minMax"/>
        </c:scaling>
        <c:axPos val="l"/>
        <c:numFmt formatCode="General" sourceLinked="1"/>
        <c:tickLblPos val="nextTo"/>
        <c:crossAx val="64439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4978127681"/>
          <c:y val="7.98614756488773E-2"/>
          <c:w val="0.1500002187226597"/>
          <c:h val="0.8368084718576847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AA_phi_A!$A$3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AA_phi_A!$B$3:$U$3</c:f>
              <c:numCache>
                <c:formatCode>General</c:formatCode>
                <c:ptCount val="20"/>
                <c:pt idx="0">
                  <c:v>6937.0249999999996</c:v>
                </c:pt>
                <c:pt idx="1">
                  <c:v>4748.7110000000002</c:v>
                </c:pt>
                <c:pt idx="2">
                  <c:v>2935.6489999999999</c:v>
                </c:pt>
                <c:pt idx="3">
                  <c:v>1999.634</c:v>
                </c:pt>
                <c:pt idx="4">
                  <c:v>1487.46</c:v>
                </c:pt>
                <c:pt idx="5">
                  <c:v>1176.712</c:v>
                </c:pt>
                <c:pt idx="6">
                  <c:v>961.05650000000003</c:v>
                </c:pt>
                <c:pt idx="7">
                  <c:v>810.93010000000004</c:v>
                </c:pt>
                <c:pt idx="8">
                  <c:v>701.06870000000004</c:v>
                </c:pt>
                <c:pt idx="9">
                  <c:v>621.52319999999997</c:v>
                </c:pt>
                <c:pt idx="10">
                  <c:v>556.97270000000003</c:v>
                </c:pt>
                <c:pt idx="11">
                  <c:v>500.38729999999998</c:v>
                </c:pt>
                <c:pt idx="12">
                  <c:v>454.7672</c:v>
                </c:pt>
                <c:pt idx="13">
                  <c:v>419.55360000000002</c:v>
                </c:pt>
                <c:pt idx="14">
                  <c:v>383.8449</c:v>
                </c:pt>
                <c:pt idx="15">
                  <c:v>358.4289</c:v>
                </c:pt>
                <c:pt idx="16">
                  <c:v>340.09789999999998</c:v>
                </c:pt>
                <c:pt idx="17">
                  <c:v>320.04399999999998</c:v>
                </c:pt>
                <c:pt idx="18">
                  <c:v>300.37639999999999</c:v>
                </c:pt>
                <c:pt idx="19">
                  <c:v>288.76769999999999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AA_phi_A!$B$4:$U$4</c:f>
              <c:numCache>
                <c:formatCode>General</c:formatCode>
                <c:ptCount val="20"/>
                <c:pt idx="0">
                  <c:v>6954.3739999999998</c:v>
                </c:pt>
                <c:pt idx="1">
                  <c:v>4749.9629999999997</c:v>
                </c:pt>
                <c:pt idx="2">
                  <c:v>2945.703</c:v>
                </c:pt>
                <c:pt idx="3">
                  <c:v>1997.6579999999999</c:v>
                </c:pt>
                <c:pt idx="4">
                  <c:v>1485.867</c:v>
                </c:pt>
                <c:pt idx="5">
                  <c:v>1178.4090000000001</c:v>
                </c:pt>
                <c:pt idx="6">
                  <c:v>957.53179999999998</c:v>
                </c:pt>
                <c:pt idx="7">
                  <c:v>810.92439999999999</c:v>
                </c:pt>
                <c:pt idx="8">
                  <c:v>705.07569999999998</c:v>
                </c:pt>
                <c:pt idx="9">
                  <c:v>621.83280000000002</c:v>
                </c:pt>
                <c:pt idx="10">
                  <c:v>553.64390000000003</c:v>
                </c:pt>
                <c:pt idx="11">
                  <c:v>499.66419999999999</c:v>
                </c:pt>
                <c:pt idx="12">
                  <c:v>455.58370000000002</c:v>
                </c:pt>
                <c:pt idx="13">
                  <c:v>422.65429999999998</c:v>
                </c:pt>
                <c:pt idx="14">
                  <c:v>394.4821</c:v>
                </c:pt>
                <c:pt idx="15">
                  <c:v>367.84570000000002</c:v>
                </c:pt>
                <c:pt idx="16">
                  <c:v>345.89929999999998</c:v>
                </c:pt>
                <c:pt idx="17">
                  <c:v>328.33629999999999</c:v>
                </c:pt>
                <c:pt idx="18">
                  <c:v>304.72370000000001</c:v>
                </c:pt>
                <c:pt idx="19">
                  <c:v>288.92590000000001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AA_phi_A!$B$5:$U$5</c:f>
              <c:numCache>
                <c:formatCode>General</c:formatCode>
                <c:ptCount val="20"/>
                <c:pt idx="0">
                  <c:v>6831.4449999999997</c:v>
                </c:pt>
                <c:pt idx="1">
                  <c:v>4688.7370000000001</c:v>
                </c:pt>
                <c:pt idx="2">
                  <c:v>2937.6779999999999</c:v>
                </c:pt>
                <c:pt idx="3">
                  <c:v>2004.278</c:v>
                </c:pt>
                <c:pt idx="4">
                  <c:v>1493.0229999999999</c:v>
                </c:pt>
                <c:pt idx="5">
                  <c:v>1188.6110000000001</c:v>
                </c:pt>
                <c:pt idx="6">
                  <c:v>978.04610000000002</c:v>
                </c:pt>
                <c:pt idx="7">
                  <c:v>823.13900000000001</c:v>
                </c:pt>
                <c:pt idx="8">
                  <c:v>711.96860000000004</c:v>
                </c:pt>
                <c:pt idx="9">
                  <c:v>620.1318</c:v>
                </c:pt>
                <c:pt idx="10">
                  <c:v>548.03790000000004</c:v>
                </c:pt>
                <c:pt idx="11">
                  <c:v>499.74849999999998</c:v>
                </c:pt>
                <c:pt idx="12">
                  <c:v>455.15100000000001</c:v>
                </c:pt>
                <c:pt idx="13">
                  <c:v>418.10199999999998</c:v>
                </c:pt>
                <c:pt idx="14">
                  <c:v>390.57170000000002</c:v>
                </c:pt>
                <c:pt idx="15">
                  <c:v>366.90679999999998</c:v>
                </c:pt>
                <c:pt idx="16">
                  <c:v>341.06400000000002</c:v>
                </c:pt>
                <c:pt idx="17">
                  <c:v>321.3519</c:v>
                </c:pt>
                <c:pt idx="18">
                  <c:v>303.53570000000002</c:v>
                </c:pt>
                <c:pt idx="19">
                  <c:v>288.02170000000001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AA_phi_A!$B$6:$U$6</c:f>
              <c:numCache>
                <c:formatCode>General</c:formatCode>
                <c:ptCount val="20"/>
                <c:pt idx="0">
                  <c:v>6961.9430000000002</c:v>
                </c:pt>
                <c:pt idx="1">
                  <c:v>4776.9179999999997</c:v>
                </c:pt>
                <c:pt idx="2">
                  <c:v>2949.8449999999998</c:v>
                </c:pt>
                <c:pt idx="3">
                  <c:v>2001.61</c:v>
                </c:pt>
                <c:pt idx="4">
                  <c:v>1495.4</c:v>
                </c:pt>
                <c:pt idx="5">
                  <c:v>1180.175</c:v>
                </c:pt>
                <c:pt idx="6">
                  <c:v>960.13599999999997</c:v>
                </c:pt>
                <c:pt idx="7">
                  <c:v>817.31269999999995</c:v>
                </c:pt>
                <c:pt idx="8">
                  <c:v>706.93020000000001</c:v>
                </c:pt>
                <c:pt idx="9">
                  <c:v>621.81489999999997</c:v>
                </c:pt>
                <c:pt idx="10">
                  <c:v>556.86289999999997</c:v>
                </c:pt>
                <c:pt idx="11">
                  <c:v>500.80840000000001</c:v>
                </c:pt>
                <c:pt idx="12">
                  <c:v>456.3023</c:v>
                </c:pt>
                <c:pt idx="13">
                  <c:v>416.67360000000002</c:v>
                </c:pt>
                <c:pt idx="14">
                  <c:v>387.16379999999998</c:v>
                </c:pt>
                <c:pt idx="15">
                  <c:v>361.12700000000001</c:v>
                </c:pt>
                <c:pt idx="16">
                  <c:v>336.30410000000001</c:v>
                </c:pt>
                <c:pt idx="17">
                  <c:v>319.11200000000002</c:v>
                </c:pt>
                <c:pt idx="18">
                  <c:v>298.32080000000002</c:v>
                </c:pt>
                <c:pt idx="19">
                  <c:v>287.03100000000001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AA_phi_A!$B$7:$U$7</c:f>
              <c:numCache>
                <c:formatCode>General</c:formatCode>
                <c:ptCount val="20"/>
                <c:pt idx="0">
                  <c:v>6790.4179999999997</c:v>
                </c:pt>
                <c:pt idx="1">
                  <c:v>4676.9660000000003</c:v>
                </c:pt>
                <c:pt idx="2">
                  <c:v>2896.15</c:v>
                </c:pt>
                <c:pt idx="3">
                  <c:v>2003.46</c:v>
                </c:pt>
                <c:pt idx="4">
                  <c:v>1499.587</c:v>
                </c:pt>
                <c:pt idx="5">
                  <c:v>1179.4269999999999</c:v>
                </c:pt>
                <c:pt idx="6">
                  <c:v>961.36109999999996</c:v>
                </c:pt>
                <c:pt idx="7">
                  <c:v>816.04060000000004</c:v>
                </c:pt>
                <c:pt idx="8">
                  <c:v>708.35590000000002</c:v>
                </c:pt>
                <c:pt idx="9">
                  <c:v>623.71190000000001</c:v>
                </c:pt>
                <c:pt idx="10">
                  <c:v>555.46619999999996</c:v>
                </c:pt>
                <c:pt idx="11">
                  <c:v>502.67320000000001</c:v>
                </c:pt>
                <c:pt idx="12">
                  <c:v>460.52030000000002</c:v>
                </c:pt>
                <c:pt idx="13">
                  <c:v>424.87759999999997</c:v>
                </c:pt>
                <c:pt idx="14">
                  <c:v>394.78949999999998</c:v>
                </c:pt>
                <c:pt idx="15">
                  <c:v>369.5179</c:v>
                </c:pt>
                <c:pt idx="16">
                  <c:v>344.08690000000001</c:v>
                </c:pt>
                <c:pt idx="17">
                  <c:v>324.25490000000002</c:v>
                </c:pt>
                <c:pt idx="18">
                  <c:v>305.15260000000001</c:v>
                </c:pt>
                <c:pt idx="19">
                  <c:v>292.12689999999998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AA_phi_A!$B$8:$U$8</c:f>
              <c:numCache>
                <c:formatCode>General</c:formatCode>
                <c:ptCount val="20"/>
                <c:pt idx="0">
                  <c:v>6900.5820000000003</c:v>
                </c:pt>
                <c:pt idx="1">
                  <c:v>4729.4129999999996</c:v>
                </c:pt>
                <c:pt idx="2">
                  <c:v>2928.9920000000002</c:v>
                </c:pt>
                <c:pt idx="3">
                  <c:v>1983.819</c:v>
                </c:pt>
                <c:pt idx="4">
                  <c:v>1486.201</c:v>
                </c:pt>
                <c:pt idx="5">
                  <c:v>1170.875</c:v>
                </c:pt>
                <c:pt idx="6">
                  <c:v>955.36479999999995</c:v>
                </c:pt>
                <c:pt idx="7">
                  <c:v>807.95389999999998</c:v>
                </c:pt>
                <c:pt idx="8">
                  <c:v>702.42809999999997</c:v>
                </c:pt>
                <c:pt idx="9">
                  <c:v>616.61220000000003</c:v>
                </c:pt>
                <c:pt idx="10">
                  <c:v>548.71420000000001</c:v>
                </c:pt>
                <c:pt idx="11">
                  <c:v>495.73419999999999</c:v>
                </c:pt>
                <c:pt idx="12">
                  <c:v>453.79349999999999</c:v>
                </c:pt>
                <c:pt idx="13">
                  <c:v>420.57209999999998</c:v>
                </c:pt>
                <c:pt idx="14">
                  <c:v>389.12209999999999</c:v>
                </c:pt>
                <c:pt idx="15">
                  <c:v>362.50580000000002</c:v>
                </c:pt>
                <c:pt idx="16">
                  <c:v>339.18740000000003</c:v>
                </c:pt>
                <c:pt idx="17">
                  <c:v>319.71690000000001</c:v>
                </c:pt>
                <c:pt idx="18">
                  <c:v>298.89139999999998</c:v>
                </c:pt>
                <c:pt idx="19">
                  <c:v>286.26780000000002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AA_phi_A!$B$9:$U$9</c:f>
              <c:numCache>
                <c:formatCode>General</c:formatCode>
                <c:ptCount val="20"/>
                <c:pt idx="0">
                  <c:v>6712.2730000000001</c:v>
                </c:pt>
                <c:pt idx="1">
                  <c:v>4622.6059999999998</c:v>
                </c:pt>
                <c:pt idx="2">
                  <c:v>2863.8150000000001</c:v>
                </c:pt>
                <c:pt idx="3">
                  <c:v>1974.549</c:v>
                </c:pt>
                <c:pt idx="4">
                  <c:v>1471.827</c:v>
                </c:pt>
                <c:pt idx="5">
                  <c:v>1163.384</c:v>
                </c:pt>
                <c:pt idx="6">
                  <c:v>954.49419999999998</c:v>
                </c:pt>
                <c:pt idx="7">
                  <c:v>804.13900000000001</c:v>
                </c:pt>
                <c:pt idx="8">
                  <c:v>700.9982</c:v>
                </c:pt>
                <c:pt idx="9">
                  <c:v>615.40509999999995</c:v>
                </c:pt>
                <c:pt idx="10">
                  <c:v>553.84780000000001</c:v>
                </c:pt>
                <c:pt idx="11">
                  <c:v>495.76909999999998</c:v>
                </c:pt>
                <c:pt idx="12">
                  <c:v>450.48329999999999</c:v>
                </c:pt>
                <c:pt idx="13">
                  <c:v>415.8578</c:v>
                </c:pt>
                <c:pt idx="14">
                  <c:v>384.77109999999999</c:v>
                </c:pt>
                <c:pt idx="15">
                  <c:v>365.33690000000001</c:v>
                </c:pt>
                <c:pt idx="16">
                  <c:v>339.68979999999999</c:v>
                </c:pt>
                <c:pt idx="17">
                  <c:v>318.34190000000001</c:v>
                </c:pt>
                <c:pt idx="18">
                  <c:v>300.75839999999999</c:v>
                </c:pt>
                <c:pt idx="19">
                  <c:v>289.18189999999998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AA_phi_A!$B$10:$U$10</c:f>
              <c:numCache>
                <c:formatCode>General</c:formatCode>
                <c:ptCount val="20"/>
                <c:pt idx="0">
                  <c:v>6794.625</c:v>
                </c:pt>
                <c:pt idx="1">
                  <c:v>4660.9790000000003</c:v>
                </c:pt>
                <c:pt idx="2">
                  <c:v>2903.154</c:v>
                </c:pt>
                <c:pt idx="3">
                  <c:v>1985.558</c:v>
                </c:pt>
                <c:pt idx="4">
                  <c:v>1495.2950000000001</c:v>
                </c:pt>
                <c:pt idx="5">
                  <c:v>1177.817</c:v>
                </c:pt>
                <c:pt idx="6">
                  <c:v>961.98829999999998</c:v>
                </c:pt>
                <c:pt idx="7">
                  <c:v>817.34889999999996</c:v>
                </c:pt>
                <c:pt idx="8">
                  <c:v>713.49919999999997</c:v>
                </c:pt>
                <c:pt idx="9">
                  <c:v>626.5915</c:v>
                </c:pt>
                <c:pt idx="10">
                  <c:v>559.32759999999996</c:v>
                </c:pt>
                <c:pt idx="11">
                  <c:v>502.60109999999997</c:v>
                </c:pt>
                <c:pt idx="12">
                  <c:v>459.916</c:v>
                </c:pt>
                <c:pt idx="13">
                  <c:v>422.89109999999999</c:v>
                </c:pt>
                <c:pt idx="14">
                  <c:v>391.1671</c:v>
                </c:pt>
                <c:pt idx="15">
                  <c:v>362.56299999999999</c:v>
                </c:pt>
                <c:pt idx="16">
                  <c:v>340.81380000000001</c:v>
                </c:pt>
                <c:pt idx="17">
                  <c:v>321.6651</c:v>
                </c:pt>
                <c:pt idx="18">
                  <c:v>304.3227</c:v>
                </c:pt>
                <c:pt idx="19">
                  <c:v>288.38979999999998</c:v>
                </c:pt>
              </c:numCache>
            </c:numRef>
          </c:yVal>
          <c:smooth val="1"/>
        </c:ser>
        <c:axId val="1524864"/>
        <c:axId val="1526784"/>
      </c:scatterChart>
      <c:valAx>
        <c:axId val="152486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6784"/>
        <c:crosses val="autoZero"/>
        <c:crossBetween val="midCat"/>
      </c:valAx>
      <c:valAx>
        <c:axId val="1526784"/>
        <c:scaling>
          <c:orientation val="minMax"/>
        </c:scaling>
        <c:axPos val="l"/>
        <c:numFmt formatCode="General" sourceLinked="1"/>
        <c:tickLblPos val="nextTo"/>
        <c:crossAx val="152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547244091"/>
          <c:y val="7.9861467020764423E-2"/>
          <c:w val="0.1500002050524937"/>
          <c:h val="0.836808461072543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AA_phi_ind!$A$3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AA_phi_ind!$B$3:$U$3</c:f>
              <c:numCache>
                <c:formatCode>General</c:formatCode>
                <c:ptCount val="20"/>
                <c:pt idx="0">
                  <c:v>2.2634806E-2</c:v>
                </c:pt>
                <c:pt idx="1">
                  <c:v>2.2926541000000002E-2</c:v>
                </c:pt>
                <c:pt idx="2">
                  <c:v>2.2418324E-2</c:v>
                </c:pt>
                <c:pt idx="3">
                  <c:v>2.1817131E-2</c:v>
                </c:pt>
                <c:pt idx="4">
                  <c:v>2.1795385E-2</c:v>
                </c:pt>
                <c:pt idx="5">
                  <c:v>2.1563698999999999E-2</c:v>
                </c:pt>
                <c:pt idx="6">
                  <c:v>2.1882469000000002E-2</c:v>
                </c:pt>
                <c:pt idx="7">
                  <c:v>2.1887481E-2</c:v>
                </c:pt>
                <c:pt idx="8">
                  <c:v>2.2137521E-2</c:v>
                </c:pt>
                <c:pt idx="9">
                  <c:v>2.1801437999999999E-2</c:v>
                </c:pt>
                <c:pt idx="10">
                  <c:v>2.3576929999999999E-2</c:v>
                </c:pt>
                <c:pt idx="11">
                  <c:v>2.3504707999999999E-2</c:v>
                </c:pt>
                <c:pt idx="12">
                  <c:v>2.3330573E-2</c:v>
                </c:pt>
                <c:pt idx="13">
                  <c:v>2.3051133000000001E-2</c:v>
                </c:pt>
                <c:pt idx="14">
                  <c:v>2.3288514E-2</c:v>
                </c:pt>
                <c:pt idx="15">
                  <c:v>2.3225961E-2</c:v>
                </c:pt>
                <c:pt idx="16">
                  <c:v>2.2593489000000001E-2</c:v>
                </c:pt>
                <c:pt idx="17">
                  <c:v>2.2697835999999999E-2</c:v>
                </c:pt>
                <c:pt idx="18">
                  <c:v>2.2489184999999998E-2</c:v>
                </c:pt>
                <c:pt idx="19">
                  <c:v>2.2434316999999999E-2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AA_phi_ind!$A$4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AA_phi_ind!$B$4:$U$4</c:f>
              <c:numCache>
                <c:formatCode>General</c:formatCode>
                <c:ptCount val="20"/>
                <c:pt idx="0">
                  <c:v>2.2547718000000001E-2</c:v>
                </c:pt>
                <c:pt idx="1">
                  <c:v>2.2807473000000002E-2</c:v>
                </c:pt>
                <c:pt idx="2">
                  <c:v>2.2338189000000001E-2</c:v>
                </c:pt>
                <c:pt idx="3">
                  <c:v>2.175767E-2</c:v>
                </c:pt>
                <c:pt idx="4">
                  <c:v>2.180006E-2</c:v>
                </c:pt>
                <c:pt idx="5">
                  <c:v>2.1522427E-2</c:v>
                </c:pt>
                <c:pt idx="6">
                  <c:v>2.1870364E-2</c:v>
                </c:pt>
                <c:pt idx="7">
                  <c:v>2.1803093999999999E-2</c:v>
                </c:pt>
                <c:pt idx="8">
                  <c:v>2.2112054999999999E-2</c:v>
                </c:pt>
                <c:pt idx="9">
                  <c:v>2.1599894000000001E-2</c:v>
                </c:pt>
                <c:pt idx="10">
                  <c:v>2.3266810999999998E-2</c:v>
                </c:pt>
                <c:pt idx="11">
                  <c:v>2.3491637999999999E-2</c:v>
                </c:pt>
                <c:pt idx="12">
                  <c:v>2.3357503000000002E-2</c:v>
                </c:pt>
                <c:pt idx="13">
                  <c:v>2.3184517000000002E-2</c:v>
                </c:pt>
                <c:pt idx="14">
                  <c:v>2.3309881000000001E-2</c:v>
                </c:pt>
                <c:pt idx="15">
                  <c:v>2.3303276000000001E-2</c:v>
                </c:pt>
                <c:pt idx="16">
                  <c:v>2.2652683999999999E-2</c:v>
                </c:pt>
                <c:pt idx="17">
                  <c:v>2.2874243999999998E-2</c:v>
                </c:pt>
                <c:pt idx="18">
                  <c:v>2.2798331000000002E-2</c:v>
                </c:pt>
                <c:pt idx="19">
                  <c:v>2.2558506999999998E-2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AA_phi_ind!$A$5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AA_phi_ind!$B$5:$U$5</c:f>
              <c:numCache>
                <c:formatCode>General</c:formatCode>
                <c:ptCount val="20"/>
                <c:pt idx="0">
                  <c:v>2.2373655999999999E-2</c:v>
                </c:pt>
                <c:pt idx="1">
                  <c:v>2.2703869000000002E-2</c:v>
                </c:pt>
                <c:pt idx="2">
                  <c:v>2.2272126999999999E-2</c:v>
                </c:pt>
                <c:pt idx="3">
                  <c:v>2.1663563E-2</c:v>
                </c:pt>
                <c:pt idx="4">
                  <c:v>2.1520774999999999E-2</c:v>
                </c:pt>
                <c:pt idx="5">
                  <c:v>2.152741E-2</c:v>
                </c:pt>
                <c:pt idx="6">
                  <c:v>2.1700185E-2</c:v>
                </c:pt>
                <c:pt idx="7">
                  <c:v>2.1811863000000001E-2</c:v>
                </c:pt>
                <c:pt idx="8">
                  <c:v>2.2019871999999999E-2</c:v>
                </c:pt>
                <c:pt idx="9">
                  <c:v>2.1634666E-2</c:v>
                </c:pt>
                <c:pt idx="10">
                  <c:v>2.3401801E-2</c:v>
                </c:pt>
                <c:pt idx="11">
                  <c:v>2.3549575E-2</c:v>
                </c:pt>
                <c:pt idx="12">
                  <c:v>2.3248192000000001E-2</c:v>
                </c:pt>
                <c:pt idx="13">
                  <c:v>2.3083208000000001E-2</c:v>
                </c:pt>
                <c:pt idx="14">
                  <c:v>2.3170573999999999E-2</c:v>
                </c:pt>
                <c:pt idx="15">
                  <c:v>2.3257498000000001E-2</c:v>
                </c:pt>
                <c:pt idx="16">
                  <c:v>2.2699878999999999E-2</c:v>
                </c:pt>
                <c:pt idx="17">
                  <c:v>2.2762378999999999E-2</c:v>
                </c:pt>
                <c:pt idx="18">
                  <c:v>2.2853417000000001E-2</c:v>
                </c:pt>
                <c:pt idx="19">
                  <c:v>2.2744219999999999E-2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AA_phi_ind!$A$6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AA_phi_ind!$B$6:$U$6</c:f>
              <c:numCache>
                <c:formatCode>General</c:formatCode>
                <c:ptCount val="20"/>
                <c:pt idx="0">
                  <c:v>2.2709093999999999E-2</c:v>
                </c:pt>
                <c:pt idx="1">
                  <c:v>2.3028984999999998E-2</c:v>
                </c:pt>
                <c:pt idx="2">
                  <c:v>2.2571569E-2</c:v>
                </c:pt>
                <c:pt idx="3">
                  <c:v>2.1959389999999999E-2</c:v>
                </c:pt>
                <c:pt idx="4">
                  <c:v>2.1819808E-2</c:v>
                </c:pt>
                <c:pt idx="5">
                  <c:v>2.1693533000000001E-2</c:v>
                </c:pt>
                <c:pt idx="6">
                  <c:v>2.194689E-2</c:v>
                </c:pt>
                <c:pt idx="7">
                  <c:v>2.2124623999999999E-2</c:v>
                </c:pt>
                <c:pt idx="8">
                  <c:v>2.2327290999999999E-2</c:v>
                </c:pt>
                <c:pt idx="9">
                  <c:v>2.1785615000000001E-2</c:v>
                </c:pt>
                <c:pt idx="10">
                  <c:v>2.3384327E-2</c:v>
                </c:pt>
                <c:pt idx="11">
                  <c:v>2.3590703000000001E-2</c:v>
                </c:pt>
                <c:pt idx="12">
                  <c:v>2.3443519999999999E-2</c:v>
                </c:pt>
                <c:pt idx="13">
                  <c:v>2.3251465999999998E-2</c:v>
                </c:pt>
                <c:pt idx="14">
                  <c:v>2.3297569000000001E-2</c:v>
                </c:pt>
                <c:pt idx="15">
                  <c:v>2.3368389999999999E-2</c:v>
                </c:pt>
                <c:pt idx="16">
                  <c:v>2.2459377999999999E-2</c:v>
                </c:pt>
                <c:pt idx="17">
                  <c:v>2.2618118999999999E-2</c:v>
                </c:pt>
                <c:pt idx="18">
                  <c:v>2.2665768999999999E-2</c:v>
                </c:pt>
                <c:pt idx="19">
                  <c:v>2.2417311999999998E-2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AA_phi_ind!$A$7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AA_phi_ind!$B$7:$U$7</c:f>
              <c:numCache>
                <c:formatCode>General</c:formatCode>
                <c:ptCount val="20"/>
                <c:pt idx="0">
                  <c:v>2.2516325E-2</c:v>
                </c:pt>
                <c:pt idx="1">
                  <c:v>2.2787094000000001E-2</c:v>
                </c:pt>
                <c:pt idx="2">
                  <c:v>2.2325485999999999E-2</c:v>
                </c:pt>
                <c:pt idx="3">
                  <c:v>2.1779166999999999E-2</c:v>
                </c:pt>
                <c:pt idx="4">
                  <c:v>2.1771977000000001E-2</c:v>
                </c:pt>
                <c:pt idx="5">
                  <c:v>2.1660560999999998E-2</c:v>
                </c:pt>
                <c:pt idx="6">
                  <c:v>2.1710991999999998E-2</c:v>
                </c:pt>
                <c:pt idx="7">
                  <c:v>2.1745774999999998E-2</c:v>
                </c:pt>
                <c:pt idx="8">
                  <c:v>2.1971125000000001E-2</c:v>
                </c:pt>
                <c:pt idx="9">
                  <c:v>2.1482002E-2</c:v>
                </c:pt>
                <c:pt idx="10">
                  <c:v>2.3329197999999999E-2</c:v>
                </c:pt>
                <c:pt idx="11">
                  <c:v>2.3528749000000002E-2</c:v>
                </c:pt>
                <c:pt idx="12">
                  <c:v>2.3152709E-2</c:v>
                </c:pt>
                <c:pt idx="13">
                  <c:v>2.2939872E-2</c:v>
                </c:pt>
                <c:pt idx="14">
                  <c:v>2.3170883E-2</c:v>
                </c:pt>
                <c:pt idx="15">
                  <c:v>2.3356535000000001E-2</c:v>
                </c:pt>
                <c:pt idx="16">
                  <c:v>2.2544956000000001E-2</c:v>
                </c:pt>
                <c:pt idx="17">
                  <c:v>2.2851092999999999E-2</c:v>
                </c:pt>
                <c:pt idx="18">
                  <c:v>2.2578933999999998E-2</c:v>
                </c:pt>
                <c:pt idx="19">
                  <c:v>2.2406908E-2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AA_phi_ind!$A$8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AA_phi_ind!$B$8:$U$8</c:f>
              <c:numCache>
                <c:formatCode>General</c:formatCode>
                <c:ptCount val="20"/>
                <c:pt idx="0">
                  <c:v>2.2667682000000001E-2</c:v>
                </c:pt>
                <c:pt idx="1">
                  <c:v>2.2967517E-2</c:v>
                </c:pt>
                <c:pt idx="2">
                  <c:v>2.2459215000000001E-2</c:v>
                </c:pt>
                <c:pt idx="3">
                  <c:v>2.2017104999999999E-2</c:v>
                </c:pt>
                <c:pt idx="4">
                  <c:v>2.1871686000000001E-2</c:v>
                </c:pt>
                <c:pt idx="5">
                  <c:v>2.186227E-2</c:v>
                </c:pt>
                <c:pt idx="6">
                  <c:v>2.2076551E-2</c:v>
                </c:pt>
                <c:pt idx="7">
                  <c:v>2.2170855E-2</c:v>
                </c:pt>
                <c:pt idx="8">
                  <c:v>2.2365268000000001E-2</c:v>
                </c:pt>
                <c:pt idx="9">
                  <c:v>2.1864932E-2</c:v>
                </c:pt>
                <c:pt idx="10">
                  <c:v>2.3520676000000001E-2</c:v>
                </c:pt>
                <c:pt idx="11">
                  <c:v>2.3501293999999999E-2</c:v>
                </c:pt>
                <c:pt idx="12">
                  <c:v>2.3215117E-2</c:v>
                </c:pt>
                <c:pt idx="13">
                  <c:v>2.3166539E-2</c:v>
                </c:pt>
                <c:pt idx="14">
                  <c:v>2.3213287999999999E-2</c:v>
                </c:pt>
                <c:pt idx="15">
                  <c:v>2.3278759999999999E-2</c:v>
                </c:pt>
                <c:pt idx="16">
                  <c:v>2.2673150999999999E-2</c:v>
                </c:pt>
                <c:pt idx="17">
                  <c:v>2.2568781E-2</c:v>
                </c:pt>
                <c:pt idx="18">
                  <c:v>2.2438465000000001E-2</c:v>
                </c:pt>
                <c:pt idx="19">
                  <c:v>2.2373013000000001E-2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AA_phi_ind!$A$9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AA_phi_ind!$B$9:$U$9</c:f>
              <c:numCache>
                <c:formatCode>General</c:formatCode>
                <c:ptCount val="20"/>
                <c:pt idx="0">
                  <c:v>2.2497451000000002E-2</c:v>
                </c:pt>
                <c:pt idx="1">
                  <c:v>2.2802540999999999E-2</c:v>
                </c:pt>
                <c:pt idx="2">
                  <c:v>2.2307859999999999E-2</c:v>
                </c:pt>
                <c:pt idx="3">
                  <c:v>2.1822028E-2</c:v>
                </c:pt>
                <c:pt idx="4">
                  <c:v>2.1675261000000001E-2</c:v>
                </c:pt>
                <c:pt idx="5">
                  <c:v>2.1737320000000001E-2</c:v>
                </c:pt>
                <c:pt idx="6">
                  <c:v>2.1844125999999998E-2</c:v>
                </c:pt>
                <c:pt idx="7">
                  <c:v>2.1843234E-2</c:v>
                </c:pt>
                <c:pt idx="8">
                  <c:v>2.2117568000000001E-2</c:v>
                </c:pt>
                <c:pt idx="9">
                  <c:v>2.1648113E-2</c:v>
                </c:pt>
                <c:pt idx="10">
                  <c:v>2.3551910999999998E-2</c:v>
                </c:pt>
                <c:pt idx="11">
                  <c:v>2.3561176E-2</c:v>
                </c:pt>
                <c:pt idx="12">
                  <c:v>2.3372675999999998E-2</c:v>
                </c:pt>
                <c:pt idx="13">
                  <c:v>2.2962224E-2</c:v>
                </c:pt>
                <c:pt idx="14">
                  <c:v>2.3038263E-2</c:v>
                </c:pt>
                <c:pt idx="15">
                  <c:v>2.30853E-2</c:v>
                </c:pt>
                <c:pt idx="16">
                  <c:v>2.2707146000000001E-2</c:v>
                </c:pt>
                <c:pt idx="17">
                  <c:v>2.2777599999999999E-2</c:v>
                </c:pt>
                <c:pt idx="18">
                  <c:v>2.2620494000000001E-2</c:v>
                </c:pt>
                <c:pt idx="19">
                  <c:v>2.2549579E-2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AA_phi_ind!$A$10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AA_phi_ind!$B$10:$U$10</c:f>
              <c:numCache>
                <c:formatCode>General</c:formatCode>
                <c:ptCount val="20"/>
                <c:pt idx="0">
                  <c:v>2.2522871999999999E-2</c:v>
                </c:pt>
                <c:pt idx="1">
                  <c:v>2.2823479000000001E-2</c:v>
                </c:pt>
                <c:pt idx="2">
                  <c:v>2.2382017000000001E-2</c:v>
                </c:pt>
                <c:pt idx="3">
                  <c:v>2.1815047000000001E-2</c:v>
                </c:pt>
                <c:pt idx="4">
                  <c:v>2.1709348999999999E-2</c:v>
                </c:pt>
                <c:pt idx="5">
                  <c:v>2.1672588E-2</c:v>
                </c:pt>
                <c:pt idx="6">
                  <c:v>2.1776145E-2</c:v>
                </c:pt>
                <c:pt idx="7">
                  <c:v>2.1641657000000002E-2</c:v>
                </c:pt>
                <c:pt idx="8">
                  <c:v>2.2034914999999999E-2</c:v>
                </c:pt>
                <c:pt idx="9">
                  <c:v>2.1627277E-2</c:v>
                </c:pt>
                <c:pt idx="10">
                  <c:v>2.3461176E-2</c:v>
                </c:pt>
                <c:pt idx="11">
                  <c:v>2.3565078E-2</c:v>
                </c:pt>
                <c:pt idx="12">
                  <c:v>2.3348540000000001E-2</c:v>
                </c:pt>
                <c:pt idx="13">
                  <c:v>2.3146291999999999E-2</c:v>
                </c:pt>
                <c:pt idx="14">
                  <c:v>2.3232834000000001E-2</c:v>
                </c:pt>
                <c:pt idx="15">
                  <c:v>2.3288341000000001E-2</c:v>
                </c:pt>
                <c:pt idx="16">
                  <c:v>2.2707727E-2</c:v>
                </c:pt>
                <c:pt idx="17">
                  <c:v>2.2776289000000002E-2</c:v>
                </c:pt>
                <c:pt idx="18">
                  <c:v>2.2527801E-2</c:v>
                </c:pt>
                <c:pt idx="19">
                  <c:v>2.2389919000000001E-2</c:v>
                </c:pt>
              </c:numCache>
            </c:numRef>
          </c:yVal>
          <c:smooth val="1"/>
        </c:ser>
        <c:axId val="65396736"/>
        <c:axId val="65398656"/>
      </c:scatterChart>
      <c:valAx>
        <c:axId val="653967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98656"/>
        <c:crosses val="autoZero"/>
        <c:crossBetween val="midCat"/>
      </c:valAx>
      <c:valAx>
        <c:axId val="65398656"/>
        <c:scaling>
          <c:orientation val="minMax"/>
          <c:min val="0"/>
        </c:scaling>
        <c:axPos val="l"/>
        <c:numFmt formatCode="General" sourceLinked="1"/>
        <c:tickLblPos val="nextTo"/>
        <c:crossAx val="65396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522686008324E-2"/>
          <c:w val="0.15000030638193587"/>
          <c:h val="0.8368086247283607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AA_phi_pat!$A$3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AA_phi_pat!$B$3:$U$3</c:f>
              <c:numCache>
                <c:formatCode>General</c:formatCode>
                <c:ptCount val="20"/>
                <c:pt idx="0">
                  <c:v>5.8336387999999998E-3</c:v>
                </c:pt>
                <c:pt idx="1">
                  <c:v>5.7873437000000002E-3</c:v>
                </c:pt>
                <c:pt idx="2">
                  <c:v>5.5276611999999998E-3</c:v>
                </c:pt>
                <c:pt idx="3">
                  <c:v>5.4214327000000001E-3</c:v>
                </c:pt>
                <c:pt idx="4">
                  <c:v>5.3480313999999998E-3</c:v>
                </c:pt>
                <c:pt idx="5">
                  <c:v>5.2469539999999999E-3</c:v>
                </c:pt>
                <c:pt idx="6">
                  <c:v>5.2893078000000003E-3</c:v>
                </c:pt>
                <c:pt idx="7">
                  <c:v>5.2621452999999999E-3</c:v>
                </c:pt>
                <c:pt idx="8">
                  <c:v>5.2987108999999998E-3</c:v>
                </c:pt>
                <c:pt idx="9">
                  <c:v>5.1995777000000002E-3</c:v>
                </c:pt>
                <c:pt idx="10">
                  <c:v>5.6046550000000001E-3</c:v>
                </c:pt>
                <c:pt idx="11">
                  <c:v>5.5688713000000001E-3</c:v>
                </c:pt>
                <c:pt idx="12">
                  <c:v>5.5116773999999997E-3</c:v>
                </c:pt>
                <c:pt idx="13">
                  <c:v>5.4363053999999999E-3</c:v>
                </c:pt>
                <c:pt idx="14">
                  <c:v>5.4807956000000003E-3</c:v>
                </c:pt>
                <c:pt idx="15">
                  <c:v>5.4625031000000001E-3</c:v>
                </c:pt>
                <c:pt idx="16">
                  <c:v>5.3213284999999999E-3</c:v>
                </c:pt>
                <c:pt idx="17">
                  <c:v>5.3453323999999997E-3</c:v>
                </c:pt>
                <c:pt idx="18">
                  <c:v>5.3485516000000002E-3</c:v>
                </c:pt>
                <c:pt idx="19">
                  <c:v>5.4076015999999999E-3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AA_phi_pat!$A$4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AA_phi_pat!$B$4:$U$4</c:f>
              <c:numCache>
                <c:formatCode>General</c:formatCode>
                <c:ptCount val="20"/>
                <c:pt idx="0">
                  <c:v>5.8127687999999997E-3</c:v>
                </c:pt>
                <c:pt idx="1">
                  <c:v>5.7578873999999999E-3</c:v>
                </c:pt>
                <c:pt idx="2">
                  <c:v>5.5091827999999999E-3</c:v>
                </c:pt>
                <c:pt idx="3">
                  <c:v>5.4066903000000001E-3</c:v>
                </c:pt>
                <c:pt idx="4">
                  <c:v>5.3496257999999996E-3</c:v>
                </c:pt>
                <c:pt idx="5">
                  <c:v>5.2379621000000001E-3</c:v>
                </c:pt>
                <c:pt idx="6">
                  <c:v>5.2882750000000003E-3</c:v>
                </c:pt>
                <c:pt idx="7">
                  <c:v>5.2449302999999997E-3</c:v>
                </c:pt>
                <c:pt idx="8">
                  <c:v>5.2975443999999997E-3</c:v>
                </c:pt>
                <c:pt idx="9">
                  <c:v>5.1560546000000004E-3</c:v>
                </c:pt>
                <c:pt idx="10">
                  <c:v>5.5356807999999997E-3</c:v>
                </c:pt>
                <c:pt idx="11">
                  <c:v>5.5735656000000001E-3</c:v>
                </c:pt>
                <c:pt idx="12">
                  <c:v>5.5250763E-3</c:v>
                </c:pt>
                <c:pt idx="13">
                  <c:v>5.4743225E-3</c:v>
                </c:pt>
                <c:pt idx="14">
                  <c:v>5.4930294999999997E-3</c:v>
                </c:pt>
                <c:pt idx="15">
                  <c:v>5.4808239999999996E-3</c:v>
                </c:pt>
                <c:pt idx="16">
                  <c:v>5.3375666000000004E-3</c:v>
                </c:pt>
                <c:pt idx="17">
                  <c:v>5.3993128000000001E-3</c:v>
                </c:pt>
                <c:pt idx="18">
                  <c:v>5.4317367999999998E-3</c:v>
                </c:pt>
                <c:pt idx="19">
                  <c:v>5.4269256000000002E-3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AA_phi_pat!$A$5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AA_phi_pat!$B$5:$U$5</c:f>
              <c:numCache>
                <c:formatCode>General</c:formatCode>
                <c:ptCount val="20"/>
                <c:pt idx="0">
                  <c:v>5.7683665999999998E-3</c:v>
                </c:pt>
                <c:pt idx="1">
                  <c:v>5.7303375E-3</c:v>
                </c:pt>
                <c:pt idx="2">
                  <c:v>5.4903369999999996E-3</c:v>
                </c:pt>
                <c:pt idx="3">
                  <c:v>5.3904163999999996E-3</c:v>
                </c:pt>
                <c:pt idx="4">
                  <c:v>5.2899262000000004E-3</c:v>
                </c:pt>
                <c:pt idx="5">
                  <c:v>5.2455328000000001E-3</c:v>
                </c:pt>
                <c:pt idx="6">
                  <c:v>5.2534113999999996E-3</c:v>
                </c:pt>
                <c:pt idx="7">
                  <c:v>5.2482300000000004E-3</c:v>
                </c:pt>
                <c:pt idx="8">
                  <c:v>5.275053E-3</c:v>
                </c:pt>
                <c:pt idx="9">
                  <c:v>5.1660938000000003E-3</c:v>
                </c:pt>
                <c:pt idx="10">
                  <c:v>5.5736954999999998E-3</c:v>
                </c:pt>
                <c:pt idx="11">
                  <c:v>5.5882553999999996E-3</c:v>
                </c:pt>
                <c:pt idx="12">
                  <c:v>5.5025676000000001E-3</c:v>
                </c:pt>
                <c:pt idx="13">
                  <c:v>5.4526185E-3</c:v>
                </c:pt>
                <c:pt idx="14">
                  <c:v>5.4648370000000002E-3</c:v>
                </c:pt>
                <c:pt idx="15">
                  <c:v>5.4735946000000002E-3</c:v>
                </c:pt>
                <c:pt idx="16">
                  <c:v>5.3393868999999997E-3</c:v>
                </c:pt>
                <c:pt idx="17">
                  <c:v>5.398328E-3</c:v>
                </c:pt>
                <c:pt idx="18">
                  <c:v>5.4321279999999996E-3</c:v>
                </c:pt>
                <c:pt idx="19">
                  <c:v>5.4499413999999999E-3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AA_phi_pat!$A$6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AA_phi_pat!$B$6:$U$6</c:f>
              <c:numCache>
                <c:formatCode>General</c:formatCode>
                <c:ptCount val="20"/>
                <c:pt idx="0">
                  <c:v>5.8540162000000001E-3</c:v>
                </c:pt>
                <c:pt idx="1">
                  <c:v>5.8137396999999999E-3</c:v>
                </c:pt>
                <c:pt idx="2">
                  <c:v>5.5657132E-3</c:v>
                </c:pt>
                <c:pt idx="3">
                  <c:v>5.4581085999999999E-3</c:v>
                </c:pt>
                <c:pt idx="4">
                  <c:v>5.3552175000000004E-3</c:v>
                </c:pt>
                <c:pt idx="5">
                  <c:v>5.2787983E-3</c:v>
                </c:pt>
                <c:pt idx="6">
                  <c:v>5.3051356000000001E-3</c:v>
                </c:pt>
                <c:pt idx="7">
                  <c:v>5.3200163E-3</c:v>
                </c:pt>
                <c:pt idx="8">
                  <c:v>5.3450171999999997E-3</c:v>
                </c:pt>
                <c:pt idx="9">
                  <c:v>5.1962490999999996E-3</c:v>
                </c:pt>
                <c:pt idx="10">
                  <c:v>5.5601466000000004E-3</c:v>
                </c:pt>
                <c:pt idx="11">
                  <c:v>5.5939498999999998E-3</c:v>
                </c:pt>
                <c:pt idx="12">
                  <c:v>5.5426586999999996E-3</c:v>
                </c:pt>
                <c:pt idx="13">
                  <c:v>5.4859975E-3</c:v>
                </c:pt>
                <c:pt idx="14">
                  <c:v>5.4866037999999999E-3</c:v>
                </c:pt>
                <c:pt idx="15">
                  <c:v>5.4976922000000003E-3</c:v>
                </c:pt>
                <c:pt idx="16">
                  <c:v>5.2930494000000003E-3</c:v>
                </c:pt>
                <c:pt idx="17">
                  <c:v>5.3345998999999996E-3</c:v>
                </c:pt>
                <c:pt idx="18">
                  <c:v>5.3834952000000004E-3</c:v>
                </c:pt>
                <c:pt idx="19">
                  <c:v>5.3935149000000002E-3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AA_phi_pat!$A$7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AA_phi_pat!$B$7:$U$7</c:f>
              <c:numCache>
                <c:formatCode>General</c:formatCode>
                <c:ptCount val="20"/>
                <c:pt idx="0">
                  <c:v>5.8062226E-3</c:v>
                </c:pt>
                <c:pt idx="1">
                  <c:v>5.7530076999999999E-3</c:v>
                </c:pt>
                <c:pt idx="2">
                  <c:v>5.5051483000000002E-3</c:v>
                </c:pt>
                <c:pt idx="3">
                  <c:v>5.4216808999999998E-3</c:v>
                </c:pt>
                <c:pt idx="4">
                  <c:v>5.3531671999999999E-3</c:v>
                </c:pt>
                <c:pt idx="5">
                  <c:v>5.2783168000000002E-3</c:v>
                </c:pt>
                <c:pt idx="6">
                  <c:v>5.2548092999999997E-3</c:v>
                </c:pt>
                <c:pt idx="7">
                  <c:v>5.2330982999999999E-3</c:v>
                </c:pt>
                <c:pt idx="8">
                  <c:v>5.2614519000000002E-3</c:v>
                </c:pt>
                <c:pt idx="9">
                  <c:v>5.1237395999999998E-3</c:v>
                </c:pt>
                <c:pt idx="10">
                  <c:v>5.5473381999999998E-3</c:v>
                </c:pt>
                <c:pt idx="11">
                  <c:v>5.5789016E-3</c:v>
                </c:pt>
                <c:pt idx="12">
                  <c:v>5.4734553999999996E-3</c:v>
                </c:pt>
                <c:pt idx="13">
                  <c:v>5.4117920999999999E-3</c:v>
                </c:pt>
                <c:pt idx="14">
                  <c:v>5.4547531000000002E-3</c:v>
                </c:pt>
                <c:pt idx="15">
                  <c:v>5.4902405999999997E-3</c:v>
                </c:pt>
                <c:pt idx="16">
                  <c:v>5.3060353000000003E-3</c:v>
                </c:pt>
                <c:pt idx="17">
                  <c:v>5.4084518999999998E-3</c:v>
                </c:pt>
                <c:pt idx="18">
                  <c:v>5.3786258E-3</c:v>
                </c:pt>
                <c:pt idx="19">
                  <c:v>5.4007103000000001E-3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AA_phi_pat!$A$8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AA_phi_pat!$B$8:$U$8</c:f>
              <c:numCache>
                <c:formatCode>General</c:formatCode>
                <c:ptCount val="20"/>
                <c:pt idx="0">
                  <c:v>5.8450797000000002E-3</c:v>
                </c:pt>
                <c:pt idx="1">
                  <c:v>5.8000255000000001E-3</c:v>
                </c:pt>
                <c:pt idx="2">
                  <c:v>5.541476E-3</c:v>
                </c:pt>
                <c:pt idx="3">
                  <c:v>5.4686316E-3</c:v>
                </c:pt>
                <c:pt idx="4">
                  <c:v>5.3639802999999996E-3</c:v>
                </c:pt>
                <c:pt idx="5">
                  <c:v>5.3163011999999999E-3</c:v>
                </c:pt>
                <c:pt idx="6">
                  <c:v>5.3327838000000001E-3</c:v>
                </c:pt>
                <c:pt idx="7">
                  <c:v>5.3280871E-3</c:v>
                </c:pt>
                <c:pt idx="8">
                  <c:v>5.3508147000000004E-3</c:v>
                </c:pt>
                <c:pt idx="9">
                  <c:v>5.2094995E-3</c:v>
                </c:pt>
                <c:pt idx="10">
                  <c:v>5.5846515999999997E-3</c:v>
                </c:pt>
                <c:pt idx="11">
                  <c:v>5.5663613999999998E-3</c:v>
                </c:pt>
                <c:pt idx="12">
                  <c:v>5.4869107E-3</c:v>
                </c:pt>
                <c:pt idx="13">
                  <c:v>5.4644988999999998E-3</c:v>
                </c:pt>
                <c:pt idx="14">
                  <c:v>5.4644905000000004E-3</c:v>
                </c:pt>
                <c:pt idx="15">
                  <c:v>5.4796649999999999E-3</c:v>
                </c:pt>
                <c:pt idx="16">
                  <c:v>5.3443001000000002E-3</c:v>
                </c:pt>
                <c:pt idx="17">
                  <c:v>5.3173331999999997E-3</c:v>
                </c:pt>
                <c:pt idx="18">
                  <c:v>5.3653307000000004E-3</c:v>
                </c:pt>
                <c:pt idx="19">
                  <c:v>5.3866039999999997E-3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AA_phi_pat!$A$9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AA_phi_pat!$B$9:$U$9</c:f>
              <c:numCache>
                <c:formatCode>General</c:formatCode>
                <c:ptCount val="20"/>
                <c:pt idx="0">
                  <c:v>5.8004544000000002E-3</c:v>
                </c:pt>
                <c:pt idx="1">
                  <c:v>5.7546087000000003E-3</c:v>
                </c:pt>
                <c:pt idx="2">
                  <c:v>5.4983716000000004E-3</c:v>
                </c:pt>
                <c:pt idx="3">
                  <c:v>5.4274685999999997E-3</c:v>
                </c:pt>
                <c:pt idx="4">
                  <c:v>5.3241373999999998E-3</c:v>
                </c:pt>
                <c:pt idx="5">
                  <c:v>5.2905525000000002E-3</c:v>
                </c:pt>
                <c:pt idx="6">
                  <c:v>5.2798408999999999E-3</c:v>
                </c:pt>
                <c:pt idx="7">
                  <c:v>5.2495505999999997E-3</c:v>
                </c:pt>
                <c:pt idx="8">
                  <c:v>5.2934028000000003E-3</c:v>
                </c:pt>
                <c:pt idx="9">
                  <c:v>5.1617045000000002E-3</c:v>
                </c:pt>
                <c:pt idx="10">
                  <c:v>5.6007621E-3</c:v>
                </c:pt>
                <c:pt idx="11">
                  <c:v>5.5836052999999998E-3</c:v>
                </c:pt>
                <c:pt idx="12">
                  <c:v>5.5241346999999998E-3</c:v>
                </c:pt>
                <c:pt idx="13">
                  <c:v>5.4194205000000001E-3</c:v>
                </c:pt>
                <c:pt idx="14">
                  <c:v>5.4283263000000003E-3</c:v>
                </c:pt>
                <c:pt idx="15">
                  <c:v>5.4342211E-3</c:v>
                </c:pt>
                <c:pt idx="16">
                  <c:v>5.3453826999999999E-3</c:v>
                </c:pt>
                <c:pt idx="17">
                  <c:v>5.4112411999999999E-3</c:v>
                </c:pt>
                <c:pt idx="18">
                  <c:v>5.3908908999999996E-3</c:v>
                </c:pt>
                <c:pt idx="19">
                  <c:v>5.4341075000000003E-3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AA_phi_pat!$A$10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AA_phi_pat!$B$10:$U$10</c:f>
              <c:numCache>
                <c:formatCode>General</c:formatCode>
                <c:ptCount val="20"/>
                <c:pt idx="0">
                  <c:v>5.8068787000000004E-3</c:v>
                </c:pt>
                <c:pt idx="1">
                  <c:v>5.7602208000000002E-3</c:v>
                </c:pt>
                <c:pt idx="2">
                  <c:v>5.518808E-3</c:v>
                </c:pt>
                <c:pt idx="3">
                  <c:v>5.4279501000000004E-3</c:v>
                </c:pt>
                <c:pt idx="4">
                  <c:v>5.3364904999999999E-3</c:v>
                </c:pt>
                <c:pt idx="5">
                  <c:v>5.2794911999999999E-3</c:v>
                </c:pt>
                <c:pt idx="6">
                  <c:v>5.2673872999999998E-3</c:v>
                </c:pt>
                <c:pt idx="7">
                  <c:v>5.2041146000000003E-3</c:v>
                </c:pt>
                <c:pt idx="8">
                  <c:v>5.2722651000000004E-3</c:v>
                </c:pt>
                <c:pt idx="9">
                  <c:v>5.1546092000000002E-3</c:v>
                </c:pt>
                <c:pt idx="10">
                  <c:v>5.5745467999999999E-3</c:v>
                </c:pt>
                <c:pt idx="11">
                  <c:v>5.5814488000000004E-3</c:v>
                </c:pt>
                <c:pt idx="12">
                  <c:v>5.5153401999999997E-3</c:v>
                </c:pt>
                <c:pt idx="13">
                  <c:v>5.4561658999999997E-3</c:v>
                </c:pt>
                <c:pt idx="14">
                  <c:v>5.4647741E-3</c:v>
                </c:pt>
                <c:pt idx="15">
                  <c:v>5.4650428000000001E-3</c:v>
                </c:pt>
                <c:pt idx="16">
                  <c:v>5.3409976000000003E-3</c:v>
                </c:pt>
                <c:pt idx="17">
                  <c:v>5.3949467999999997E-3</c:v>
                </c:pt>
                <c:pt idx="18">
                  <c:v>5.3602195999999996E-3</c:v>
                </c:pt>
                <c:pt idx="19">
                  <c:v>5.3629777000000003E-3</c:v>
                </c:pt>
              </c:numCache>
            </c:numRef>
          </c:yVal>
          <c:smooth val="1"/>
        </c:ser>
        <c:axId val="65481344"/>
        <c:axId val="65491712"/>
      </c:scatterChart>
      <c:valAx>
        <c:axId val="6548134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  <c:min val="0"/>
        </c:scaling>
        <c:axPos val="l"/>
        <c:numFmt formatCode="General" sourceLinked="1"/>
        <c:tickLblPos val="nextTo"/>
        <c:crossAx val="65481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547244091"/>
          <c:y val="7.9861379602998731E-2"/>
          <c:w val="0.1500002050524937"/>
          <c:h val="0.8368085875493113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AA_T_phi_den!$B$4:$U$4</c:f>
              <c:numCache>
                <c:formatCode>General</c:formatCode>
                <c:ptCount val="20"/>
                <c:pt idx="0">
                  <c:v>1.819121827738002E-2</c:v>
                </c:pt>
                <c:pt idx="1">
                  <c:v>1.9426653822511082E-2</c:v>
                </c:pt>
                <c:pt idx="2">
                  <c:v>2.0212235339361836E-2</c:v>
                </c:pt>
                <c:pt idx="3">
                  <c:v>2.0167850507532715E-2</c:v>
                </c:pt>
                <c:pt idx="4">
                  <c:v>2.0460590977424607E-2</c:v>
                </c:pt>
                <c:pt idx="5">
                  <c:v>2.0378536906765873E-2</c:v>
                </c:pt>
                <c:pt idx="6">
                  <c:v>2.0787307391845117E-2</c:v>
                </c:pt>
                <c:pt idx="7">
                  <c:v>2.0732782699936069E-2</c:v>
                </c:pt>
                <c:pt idx="8">
                  <c:v>2.1081050383438226E-2</c:v>
                </c:pt>
                <c:pt idx="9">
                  <c:v>2.0579869894168927E-2</c:v>
                </c:pt>
                <c:pt idx="10">
                  <c:v>2.2179011574071684E-2</c:v>
                </c:pt>
                <c:pt idx="11">
                  <c:v>2.2406663320982047E-2</c:v>
                </c:pt>
                <c:pt idx="12">
                  <c:v>2.2324642891309053E-2</c:v>
                </c:pt>
                <c:pt idx="13">
                  <c:v>2.2190978933482798E-2</c:v>
                </c:pt>
                <c:pt idx="14">
                  <c:v>2.2333994220817058E-2</c:v>
                </c:pt>
                <c:pt idx="15">
                  <c:v>2.2374856764001888E-2</c:v>
                </c:pt>
                <c:pt idx="16">
                  <c:v>2.1752764295647004E-2</c:v>
                </c:pt>
                <c:pt idx="17">
                  <c:v>2.2010155723635606E-2</c:v>
                </c:pt>
                <c:pt idx="18">
                  <c:v>2.1939943621548115E-2</c:v>
                </c:pt>
                <c:pt idx="19">
                  <c:v>2.169925181503022E-2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65574400"/>
        <c:axId val="65576320"/>
      </c:scatterChart>
      <c:valAx>
        <c:axId val="655744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76320"/>
        <c:crosses val="autoZero"/>
        <c:crossBetween val="midCat"/>
      </c:valAx>
      <c:valAx>
        <c:axId val="65576320"/>
        <c:scaling>
          <c:orientation val="minMax"/>
        </c:scaling>
        <c:axPos val="l"/>
        <c:numFmt formatCode="General" sourceLinked="1"/>
        <c:tickLblPos val="nextTo"/>
        <c:crossAx val="65574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1312335958042"/>
          <c:w val="0.14375021872265947"/>
          <c:h val="0.2500262467191601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AA_T_phi_den!$A$3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AA_T_phi_den!$B$3:$U$3</c:f>
              <c:numCache>
                <c:formatCode>General</c:formatCode>
                <c:ptCount val="20"/>
                <c:pt idx="0">
                  <c:v>1.8290760019961411E-2</c:v>
                </c:pt>
                <c:pt idx="1">
                  <c:v>1.95647790667835E-2</c:v>
                </c:pt>
                <c:pt idx="2">
                  <c:v>2.0330588188411328E-2</c:v>
                </c:pt>
                <c:pt idx="3">
                  <c:v>2.0238282897211999E-2</c:v>
                </c:pt>
                <c:pt idx="4">
                  <c:v>2.0456539955527851E-2</c:v>
                </c:pt>
                <c:pt idx="5">
                  <c:v>2.0487822011215132E-2</c:v>
                </c:pt>
                <c:pt idx="6">
                  <c:v>2.0791396850191303E-2</c:v>
                </c:pt>
                <c:pt idx="7">
                  <c:v>2.0824171273019349E-2</c:v>
                </c:pt>
                <c:pt idx="8">
                  <c:v>2.1132477899290153E-2</c:v>
                </c:pt>
                <c:pt idx="9">
                  <c:v>2.0839642212898368E-2</c:v>
                </c:pt>
                <c:pt idx="10">
                  <c:v>2.2526394734896454E-2</c:v>
                </c:pt>
                <c:pt idx="11">
                  <c:v>2.2500286479561236E-2</c:v>
                </c:pt>
                <c:pt idx="12">
                  <c:v>2.2295719549999662E-2</c:v>
                </c:pt>
                <c:pt idx="13">
                  <c:v>2.2067608954288009E-2</c:v>
                </c:pt>
                <c:pt idx="14">
                  <c:v>2.2288051433784564E-2</c:v>
                </c:pt>
                <c:pt idx="15">
                  <c:v>2.2234655149849496E-2</c:v>
                </c:pt>
                <c:pt idx="16">
                  <c:v>2.1752109677766359E-2</c:v>
                </c:pt>
                <c:pt idx="17">
                  <c:v>2.1849248362277952E-2</c:v>
                </c:pt>
                <c:pt idx="18">
                  <c:v>2.1629688734741238E-2</c:v>
                </c:pt>
                <c:pt idx="19">
                  <c:v>2.1596026759402726E-2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AA_T_phi_den!$A$4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AA_T_phi_den!$B$4:$U$4</c:f>
              <c:numCache>
                <c:formatCode>General</c:formatCode>
                <c:ptCount val="20"/>
                <c:pt idx="0">
                  <c:v>1.819121827738002E-2</c:v>
                </c:pt>
                <c:pt idx="1">
                  <c:v>1.9426653822511082E-2</c:v>
                </c:pt>
                <c:pt idx="2">
                  <c:v>2.0212235339361836E-2</c:v>
                </c:pt>
                <c:pt idx="3">
                  <c:v>2.0167850507532715E-2</c:v>
                </c:pt>
                <c:pt idx="4">
                  <c:v>2.0460590977424607E-2</c:v>
                </c:pt>
                <c:pt idx="5">
                  <c:v>2.0378536906765873E-2</c:v>
                </c:pt>
                <c:pt idx="6">
                  <c:v>2.0787307391845117E-2</c:v>
                </c:pt>
                <c:pt idx="7">
                  <c:v>2.0732782699936069E-2</c:v>
                </c:pt>
                <c:pt idx="8">
                  <c:v>2.1081050383438226E-2</c:v>
                </c:pt>
                <c:pt idx="9">
                  <c:v>2.0579869894168927E-2</c:v>
                </c:pt>
                <c:pt idx="10">
                  <c:v>2.2179011574071684E-2</c:v>
                </c:pt>
                <c:pt idx="11">
                  <c:v>2.2406663320982047E-2</c:v>
                </c:pt>
                <c:pt idx="12">
                  <c:v>2.2324642891309053E-2</c:v>
                </c:pt>
                <c:pt idx="13">
                  <c:v>2.2190978933482798E-2</c:v>
                </c:pt>
                <c:pt idx="14">
                  <c:v>2.2333994220817058E-2</c:v>
                </c:pt>
                <c:pt idx="15">
                  <c:v>2.2374856764001888E-2</c:v>
                </c:pt>
                <c:pt idx="16">
                  <c:v>2.1752764295647004E-2</c:v>
                </c:pt>
                <c:pt idx="17">
                  <c:v>2.2010155723635606E-2</c:v>
                </c:pt>
                <c:pt idx="18">
                  <c:v>2.1939943621548115E-2</c:v>
                </c:pt>
                <c:pt idx="19">
                  <c:v>2.169925181503022E-2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AA_T_phi_den!$A$5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AA_T_phi_den!$B$5:$U$5</c:f>
              <c:numCache>
                <c:formatCode>General</c:formatCode>
                <c:ptCount val="20"/>
                <c:pt idx="0">
                  <c:v>1.8159775283408616E-2</c:v>
                </c:pt>
                <c:pt idx="1">
                  <c:v>1.9480582460311421E-2</c:v>
                </c:pt>
                <c:pt idx="2">
                  <c:v>2.0214296130422749E-2</c:v>
                </c:pt>
                <c:pt idx="3">
                  <c:v>2.0065900751434936E-2</c:v>
                </c:pt>
                <c:pt idx="4">
                  <c:v>2.0187880238678214E-2</c:v>
                </c:pt>
                <c:pt idx="5">
                  <c:v>2.0362928672439464E-2</c:v>
                </c:pt>
                <c:pt idx="6">
                  <c:v>2.0628743882703422E-2</c:v>
                </c:pt>
                <c:pt idx="7">
                  <c:v>2.0798929968718547E-2</c:v>
                </c:pt>
                <c:pt idx="8">
                  <c:v>2.1081089149131323E-2</c:v>
                </c:pt>
                <c:pt idx="9">
                  <c:v>2.0700515817598898E-2</c:v>
                </c:pt>
                <c:pt idx="10">
                  <c:v>2.2369012920585293E-2</c:v>
                </c:pt>
                <c:pt idx="11">
                  <c:v>2.2498898365757861E-2</c:v>
                </c:pt>
                <c:pt idx="12">
                  <c:v>2.2195741053323573E-2</c:v>
                </c:pt>
                <c:pt idx="13">
                  <c:v>2.1999032612184166E-2</c:v>
                </c:pt>
                <c:pt idx="14">
                  <c:v>2.2149918373640682E-2</c:v>
                </c:pt>
                <c:pt idx="15">
                  <c:v>2.2281938392708169E-2</c:v>
                </c:pt>
                <c:pt idx="16">
                  <c:v>2.1735896084703086E-2</c:v>
                </c:pt>
                <c:pt idx="17">
                  <c:v>2.1831051659250107E-2</c:v>
                </c:pt>
                <c:pt idx="18">
                  <c:v>2.1916719456191537E-2</c:v>
                </c:pt>
                <c:pt idx="19">
                  <c:v>2.1781447016103263E-2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AA_T_phi_den!$A$6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AA_T_phi_den!$B$6:$U$6</c:f>
              <c:numCache>
                <c:formatCode>General</c:formatCode>
                <c:ptCount val="20"/>
                <c:pt idx="0">
                  <c:v>1.8394805687402302E-2</c:v>
                </c:pt>
                <c:pt idx="1">
                  <c:v>1.9680862863918739E-2</c:v>
                </c:pt>
                <c:pt idx="2">
                  <c:v>2.0481423639575634E-2</c:v>
                </c:pt>
                <c:pt idx="3">
                  <c:v>2.0393660235189313E-2</c:v>
                </c:pt>
                <c:pt idx="4">
                  <c:v>2.0541493018395175E-2</c:v>
                </c:pt>
                <c:pt idx="5">
                  <c:v>2.0589758106932209E-2</c:v>
                </c:pt>
                <c:pt idx="6">
                  <c:v>2.0861218250793977E-2</c:v>
                </c:pt>
                <c:pt idx="7">
                  <c:v>2.1110976593132293E-2</c:v>
                </c:pt>
                <c:pt idx="8">
                  <c:v>2.1343785006515167E-2</c:v>
                </c:pt>
                <c:pt idx="9">
                  <c:v>2.086507065782342E-2</c:v>
                </c:pt>
                <c:pt idx="10">
                  <c:v>2.235328631345165E-2</c:v>
                </c:pt>
                <c:pt idx="11">
                  <c:v>2.2564452224135313E-2</c:v>
                </c:pt>
                <c:pt idx="12">
                  <c:v>2.244103143745298E-2</c:v>
                </c:pt>
                <c:pt idx="13">
                  <c:v>2.2218539621529452E-2</c:v>
                </c:pt>
                <c:pt idx="14">
                  <c:v>2.225380554614605E-2</c:v>
                </c:pt>
                <c:pt idx="15">
                  <c:v>2.2435078443419264E-2</c:v>
                </c:pt>
                <c:pt idx="16">
                  <c:v>2.1588023607065656E-2</c:v>
                </c:pt>
                <c:pt idx="17">
                  <c:v>2.1741271592655147E-2</c:v>
                </c:pt>
                <c:pt idx="18">
                  <c:v>2.1795969837444154E-2</c:v>
                </c:pt>
                <c:pt idx="19">
                  <c:v>2.1591726341080385E-2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AA_T_phi_den!$A$7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AA_T_phi_den!$B$7:$U$7</c:f>
              <c:numCache>
                <c:formatCode>General</c:formatCode>
                <c:ptCount val="20"/>
                <c:pt idx="0">
                  <c:v>1.8166403429884376E-2</c:v>
                </c:pt>
                <c:pt idx="1">
                  <c:v>1.9418398251124295E-2</c:v>
                </c:pt>
                <c:pt idx="2">
                  <c:v>2.0153254949484372E-2</c:v>
                </c:pt>
                <c:pt idx="3">
                  <c:v>2.0034928446503737E-2</c:v>
                </c:pt>
                <c:pt idx="4">
                  <c:v>2.0298682937626052E-2</c:v>
                </c:pt>
                <c:pt idx="5">
                  <c:v>2.0354317565613404E-2</c:v>
                </c:pt>
                <c:pt idx="6">
                  <c:v>2.0507456908706295E-2</c:v>
                </c:pt>
                <c:pt idx="7">
                  <c:v>2.059250639344045E-2</c:v>
                </c:pt>
                <c:pt idx="8">
                  <c:v>2.0879809664715712E-2</c:v>
                </c:pt>
                <c:pt idx="9">
                  <c:v>2.043898438601191E-2</c:v>
                </c:pt>
                <c:pt idx="10">
                  <c:v>2.2239032990312432E-2</c:v>
                </c:pt>
                <c:pt idx="11">
                  <c:v>2.2434515169839839E-2</c:v>
                </c:pt>
                <c:pt idx="12">
                  <c:v>2.2116377269164256E-2</c:v>
                </c:pt>
                <c:pt idx="13">
                  <c:v>2.1937131919839495E-2</c:v>
                </c:pt>
                <c:pt idx="14">
                  <c:v>2.2162796213755311E-2</c:v>
                </c:pt>
                <c:pt idx="15">
                  <c:v>2.235938560160167E-2</c:v>
                </c:pt>
                <c:pt idx="16">
                  <c:v>2.1586896632327653E-2</c:v>
                </c:pt>
                <c:pt idx="17">
                  <c:v>2.1854154604660656E-2</c:v>
                </c:pt>
                <c:pt idx="18">
                  <c:v>2.1602164474476281E-2</c:v>
                </c:pt>
                <c:pt idx="19">
                  <c:v>2.1461190643013325E-2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AA_T_phi_den!$A$8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AA_T_phi_den!$B$8:$U$8</c:f>
              <c:numCache>
                <c:formatCode>General</c:formatCode>
                <c:ptCount val="20"/>
                <c:pt idx="0">
                  <c:v>1.8225259114219985E-2</c:v>
                </c:pt>
                <c:pt idx="1">
                  <c:v>1.9463553489118834E-2</c:v>
                </c:pt>
                <c:pt idx="2">
                  <c:v>2.0203121919219282E-2</c:v>
                </c:pt>
                <c:pt idx="3">
                  <c:v>2.0284422433538479E-2</c:v>
                </c:pt>
                <c:pt idx="4">
                  <c:v>2.0393340267940156E-2</c:v>
                </c:pt>
                <c:pt idx="5">
                  <c:v>2.0548454008788363E-2</c:v>
                </c:pt>
                <c:pt idx="6">
                  <c:v>2.0855802271367616E-2</c:v>
                </c:pt>
                <c:pt idx="7">
                  <c:v>2.0984627582350729E-2</c:v>
                </c:pt>
                <c:pt idx="8">
                  <c:v>2.1244099045434815E-2</c:v>
                </c:pt>
                <c:pt idx="9">
                  <c:v>2.0810981481993153E-2</c:v>
                </c:pt>
                <c:pt idx="10">
                  <c:v>2.2478152121530579E-2</c:v>
                </c:pt>
                <c:pt idx="11">
                  <c:v>2.2448993355320409E-2</c:v>
                </c:pt>
                <c:pt idx="12">
                  <c:v>2.2263584652540087E-2</c:v>
                </c:pt>
                <c:pt idx="13">
                  <c:v>2.2231128231010949E-2</c:v>
                </c:pt>
                <c:pt idx="14">
                  <c:v>2.2322044964345235E-2</c:v>
                </c:pt>
                <c:pt idx="15">
                  <c:v>2.2351755482397765E-2</c:v>
                </c:pt>
                <c:pt idx="16">
                  <c:v>2.1754867757062351E-2</c:v>
                </c:pt>
                <c:pt idx="17">
                  <c:v>2.1695308624157743E-2</c:v>
                </c:pt>
                <c:pt idx="18">
                  <c:v>2.1563134093937938E-2</c:v>
                </c:pt>
                <c:pt idx="19">
                  <c:v>2.1564784536399043E-2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AA_T_phi_den!$A$9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AA_T_phi_den!$B$9:$U$9</c:f>
              <c:numCache>
                <c:formatCode>General</c:formatCode>
                <c:ptCount val="20"/>
                <c:pt idx="0">
                  <c:v>1.8015749121188061E-2</c:v>
                </c:pt>
                <c:pt idx="1">
                  <c:v>1.9337853997066865E-2</c:v>
                </c:pt>
                <c:pt idx="2">
                  <c:v>2.0084777521098492E-2</c:v>
                </c:pt>
                <c:pt idx="3">
                  <c:v>2.0041391005700508E-2</c:v>
                </c:pt>
                <c:pt idx="4">
                  <c:v>2.019661518261465E-2</c:v>
                </c:pt>
                <c:pt idx="5">
                  <c:v>2.0421696281772577E-2</c:v>
                </c:pt>
                <c:pt idx="6">
                  <c:v>2.0611267246415783E-2</c:v>
                </c:pt>
                <c:pt idx="7">
                  <c:v>2.0681596664004886E-2</c:v>
                </c:pt>
                <c:pt idx="8">
                  <c:v>2.0905477305762078E-2</c:v>
                </c:pt>
                <c:pt idx="9">
                  <c:v>2.0568446983720765E-2</c:v>
                </c:pt>
                <c:pt idx="10">
                  <c:v>2.2393980284504695E-2</c:v>
                </c:pt>
                <c:pt idx="11">
                  <c:v>2.2451184448986018E-2</c:v>
                </c:pt>
                <c:pt idx="12">
                  <c:v>2.2281848345875911E-2</c:v>
                </c:pt>
                <c:pt idx="13">
                  <c:v>2.1914442734202823E-2</c:v>
                </c:pt>
                <c:pt idx="14">
                  <c:v>2.199943564826741E-2</c:v>
                </c:pt>
                <c:pt idx="15">
                  <c:v>2.2048051351535761E-2</c:v>
                </c:pt>
                <c:pt idx="16">
                  <c:v>2.1671510880586779E-2</c:v>
                </c:pt>
                <c:pt idx="17">
                  <c:v>2.1813041805409866E-2</c:v>
                </c:pt>
                <c:pt idx="18">
                  <c:v>2.1644122640942183E-2</c:v>
                </c:pt>
                <c:pt idx="19">
                  <c:v>2.1606295283507434E-2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AA_T_phi_den!$A$10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AA_T_phi_den!$B$10:$U$10</c:f>
              <c:numCache>
                <c:formatCode>General</c:formatCode>
                <c:ptCount val="20"/>
                <c:pt idx="0">
                  <c:v>1.8169100520029648E-2</c:v>
                </c:pt>
                <c:pt idx="1">
                  <c:v>1.9404953763114283E-2</c:v>
                </c:pt>
                <c:pt idx="2">
                  <c:v>2.0189712633071028E-2</c:v>
                </c:pt>
                <c:pt idx="3">
                  <c:v>2.0069491389563689E-2</c:v>
                </c:pt>
                <c:pt idx="4">
                  <c:v>2.0245975050113073E-2</c:v>
                </c:pt>
                <c:pt idx="5">
                  <c:v>2.0369171351396643E-2</c:v>
                </c:pt>
                <c:pt idx="6">
                  <c:v>2.0574519825726889E-2</c:v>
                </c:pt>
                <c:pt idx="7">
                  <c:v>2.050140906122274E-2</c:v>
                </c:pt>
                <c:pt idx="8">
                  <c:v>2.0881369430029724E-2</c:v>
                </c:pt>
                <c:pt idx="9">
                  <c:v>2.0607002762103289E-2</c:v>
                </c:pt>
                <c:pt idx="10">
                  <c:v>2.2383978829303756E-2</c:v>
                </c:pt>
                <c:pt idx="11">
                  <c:v>2.2522062201641147E-2</c:v>
                </c:pt>
                <c:pt idx="12">
                  <c:v>2.2337688110219318E-2</c:v>
                </c:pt>
                <c:pt idx="13">
                  <c:v>2.2192349862561245E-2</c:v>
                </c:pt>
                <c:pt idx="14">
                  <c:v>2.2305560928005997E-2</c:v>
                </c:pt>
                <c:pt idx="15">
                  <c:v>2.2347606155543313E-2</c:v>
                </c:pt>
                <c:pt idx="16">
                  <c:v>2.1807805391038829E-2</c:v>
                </c:pt>
                <c:pt idx="17">
                  <c:v>2.1869143423440634E-2</c:v>
                </c:pt>
                <c:pt idx="18">
                  <c:v>2.1599788404197132E-2</c:v>
                </c:pt>
                <c:pt idx="19">
                  <c:v>2.1486181114794726E-2</c:v>
                </c:pt>
              </c:numCache>
            </c:numRef>
          </c:yVal>
          <c:smooth val="1"/>
        </c:ser>
        <c:axId val="65712128"/>
        <c:axId val="65714048"/>
      </c:scatterChart>
      <c:valAx>
        <c:axId val="6571212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14048"/>
        <c:crosses val="autoZero"/>
        <c:crossBetween val="midCat"/>
      </c:valAx>
      <c:valAx>
        <c:axId val="65714048"/>
        <c:scaling>
          <c:orientation val="minMax"/>
        </c:scaling>
        <c:axPos val="l"/>
        <c:numFmt formatCode="General" sourceLinked="1"/>
        <c:tickLblPos val="nextTo"/>
        <c:crossAx val="6571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443651831981E-2"/>
          <c:w val="0.15000025581597631"/>
          <c:h val="0.8368085964176108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AA_S_phi_den!$A$3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AA_S_phi_den!$B$3:$U$3</c:f>
              <c:numCache>
                <c:formatCode>General</c:formatCode>
                <c:ptCount val="20"/>
                <c:pt idx="0">
                  <c:v>2.2634803824405997E-2</c:v>
                </c:pt>
                <c:pt idx="1">
                  <c:v>2.2926537327708506E-2</c:v>
                </c:pt>
                <c:pt idx="2">
                  <c:v>2.2418323852749427E-2</c:v>
                </c:pt>
                <c:pt idx="3">
                  <c:v>2.1817127534338784E-2</c:v>
                </c:pt>
                <c:pt idx="4">
                  <c:v>2.1795389455850914E-2</c:v>
                </c:pt>
                <c:pt idx="5">
                  <c:v>2.1563704627810373E-2</c:v>
                </c:pt>
                <c:pt idx="6">
                  <c:v>2.1882469969247385E-2</c:v>
                </c:pt>
                <c:pt idx="7">
                  <c:v>2.1887484506987718E-2</c:v>
                </c:pt>
                <c:pt idx="8">
                  <c:v>2.2137516622835966E-2</c:v>
                </c:pt>
                <c:pt idx="9">
                  <c:v>2.1801438787803901E-2</c:v>
                </c:pt>
                <c:pt idx="10">
                  <c:v>2.3576936535668624E-2</c:v>
                </c:pt>
                <c:pt idx="11">
                  <c:v>2.3504713249117234E-2</c:v>
                </c:pt>
                <c:pt idx="12">
                  <c:v>2.3330574412578568E-2</c:v>
                </c:pt>
                <c:pt idx="13">
                  <c:v>2.3051135778598967E-2</c:v>
                </c:pt>
                <c:pt idx="14">
                  <c:v>2.3288515752065482E-2</c:v>
                </c:pt>
                <c:pt idx="15">
                  <c:v>2.3225959179072893E-2</c:v>
                </c:pt>
                <c:pt idx="16">
                  <c:v>2.2593488521981467E-2</c:v>
                </c:pt>
                <c:pt idx="17">
                  <c:v>2.2697838422216947E-2</c:v>
                </c:pt>
                <c:pt idx="18">
                  <c:v>2.2489183571012903E-2</c:v>
                </c:pt>
                <c:pt idx="19">
                  <c:v>2.2434320043412059E-2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AA_S_phi_den!$A$4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AA_S_phi_den!$B$4:$U$4</c:f>
              <c:numCache>
                <c:formatCode>General</c:formatCode>
                <c:ptCount val="20"/>
                <c:pt idx="0">
                  <c:v>2.2547723202692289E-2</c:v>
                </c:pt>
                <c:pt idx="1">
                  <c:v>2.2807461868650344E-2</c:v>
                </c:pt>
                <c:pt idx="2">
                  <c:v>2.2338192275324433E-2</c:v>
                </c:pt>
                <c:pt idx="3">
                  <c:v>2.1757668229496742E-2</c:v>
                </c:pt>
                <c:pt idx="4">
                  <c:v>2.1800053436815004E-2</c:v>
                </c:pt>
                <c:pt idx="5">
                  <c:v>2.1522417089482514E-2</c:v>
                </c:pt>
                <c:pt idx="6">
                  <c:v>2.1870365036440565E-2</c:v>
                </c:pt>
                <c:pt idx="7">
                  <c:v>2.1803092865376846E-2</c:v>
                </c:pt>
                <c:pt idx="8">
                  <c:v>2.2112051230811103E-2</c:v>
                </c:pt>
                <c:pt idx="9">
                  <c:v>2.1599889873933957E-2</c:v>
                </c:pt>
                <c:pt idx="10">
                  <c:v>2.3266814643853204E-2</c:v>
                </c:pt>
                <c:pt idx="11">
                  <c:v>2.349163698339805E-2</c:v>
                </c:pt>
                <c:pt idx="12">
                  <c:v>2.3357508181262848E-2</c:v>
                </c:pt>
                <c:pt idx="13">
                  <c:v>2.318451983098244E-2</c:v>
                </c:pt>
                <c:pt idx="14">
                  <c:v>2.3309884022621054E-2</c:v>
                </c:pt>
                <c:pt idx="15">
                  <c:v>2.330327362804567E-2</c:v>
                </c:pt>
                <c:pt idx="16">
                  <c:v>2.2652685333563845E-2</c:v>
                </c:pt>
                <c:pt idx="17">
                  <c:v>2.2874242049995691E-2</c:v>
                </c:pt>
                <c:pt idx="18">
                  <c:v>2.2798328452955909E-2</c:v>
                </c:pt>
                <c:pt idx="19">
                  <c:v>2.2558507215863999E-2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AA_S_phi_den!$A$5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AA_S_phi_den!$B$5:$U$5</c:f>
              <c:numCache>
                <c:formatCode>General</c:formatCode>
                <c:ptCount val="20"/>
                <c:pt idx="0">
                  <c:v>2.2373655939555981E-2</c:v>
                </c:pt>
                <c:pt idx="1">
                  <c:v>2.2703875265343312E-2</c:v>
                </c:pt>
                <c:pt idx="2">
                  <c:v>2.2272127850635776E-2</c:v>
                </c:pt>
                <c:pt idx="3">
                  <c:v>2.1663561641648513E-2</c:v>
                </c:pt>
                <c:pt idx="4">
                  <c:v>2.1520773625054675E-2</c:v>
                </c:pt>
                <c:pt idx="5">
                  <c:v>2.1527404676551034E-2</c:v>
                </c:pt>
                <c:pt idx="6">
                  <c:v>2.1700183662099363E-2</c:v>
                </c:pt>
                <c:pt idx="7">
                  <c:v>2.1811868955304025E-2</c:v>
                </c:pt>
                <c:pt idx="8">
                  <c:v>2.2019875595637221E-2</c:v>
                </c:pt>
                <c:pt idx="9">
                  <c:v>2.1634675080361949E-2</c:v>
                </c:pt>
                <c:pt idx="10">
                  <c:v>2.3401793927025849E-2</c:v>
                </c:pt>
                <c:pt idx="11">
                  <c:v>2.3549585441477065E-2</c:v>
                </c:pt>
                <c:pt idx="12">
                  <c:v>2.3248196752286603E-2</c:v>
                </c:pt>
                <c:pt idx="13">
                  <c:v>2.308320457687359E-2</c:v>
                </c:pt>
                <c:pt idx="14">
                  <c:v>2.3170572778314455E-2</c:v>
                </c:pt>
                <c:pt idx="15">
                  <c:v>2.3257497544335513E-2</c:v>
                </c:pt>
                <c:pt idx="16">
                  <c:v>2.269987744235686E-2</c:v>
                </c:pt>
                <c:pt idx="17">
                  <c:v>2.2762379808552554E-2</c:v>
                </c:pt>
                <c:pt idx="18">
                  <c:v>2.2853417242189304E-2</c:v>
                </c:pt>
                <c:pt idx="19">
                  <c:v>2.274422031395551E-2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AA_S_phi_den!$A$6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AA_S_phi_den!$B$6:$U$6</c:f>
              <c:numCache>
                <c:formatCode>General</c:formatCode>
                <c:ptCount val="20"/>
                <c:pt idx="0">
                  <c:v>2.2709091413129927E-2</c:v>
                </c:pt>
                <c:pt idx="1">
                  <c:v>2.3028990658830652E-2</c:v>
                </c:pt>
                <c:pt idx="2">
                  <c:v>2.2571569014643141E-2</c:v>
                </c:pt>
                <c:pt idx="3">
                  <c:v>2.1959397684863685E-2</c:v>
                </c:pt>
                <c:pt idx="4">
                  <c:v>2.181980740938879E-2</c:v>
                </c:pt>
                <c:pt idx="5">
                  <c:v>2.1693536975448558E-2</c:v>
                </c:pt>
                <c:pt idx="6">
                  <c:v>2.1946890857128573E-2</c:v>
                </c:pt>
                <c:pt idx="7">
                  <c:v>2.2124628676392772E-2</c:v>
                </c:pt>
                <c:pt idx="8">
                  <c:v>2.2327296245088977E-2</c:v>
                </c:pt>
                <c:pt idx="9">
                  <c:v>2.1785614979634618E-2</c:v>
                </c:pt>
                <c:pt idx="10">
                  <c:v>2.3384319551544915E-2</c:v>
                </c:pt>
                <c:pt idx="11">
                  <c:v>2.3590698558570503E-2</c:v>
                </c:pt>
                <c:pt idx="12">
                  <c:v>2.3443515406343554E-2</c:v>
                </c:pt>
                <c:pt idx="13">
                  <c:v>2.3251465895607493E-2</c:v>
                </c:pt>
                <c:pt idx="14">
                  <c:v>2.3297573275187406E-2</c:v>
                </c:pt>
                <c:pt idx="15">
                  <c:v>2.3368391175403666E-2</c:v>
                </c:pt>
                <c:pt idx="16">
                  <c:v>2.2459378282929054E-2</c:v>
                </c:pt>
                <c:pt idx="17">
                  <c:v>2.2618118403569903E-2</c:v>
                </c:pt>
                <c:pt idx="18">
                  <c:v>2.2665767857956935E-2</c:v>
                </c:pt>
                <c:pt idx="19">
                  <c:v>2.2417313809309797E-2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AA_S_phi_den!$A$7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AA_S_phi_den!$B$7:$U$7</c:f>
              <c:numCache>
                <c:formatCode>General</c:formatCode>
                <c:ptCount val="20"/>
                <c:pt idx="0">
                  <c:v>2.2516331100677453E-2</c:v>
                </c:pt>
                <c:pt idx="1">
                  <c:v>2.2787101723638785E-2</c:v>
                </c:pt>
                <c:pt idx="2">
                  <c:v>2.2325490737703506E-2</c:v>
                </c:pt>
                <c:pt idx="3">
                  <c:v>2.1779167041019037E-2</c:v>
                </c:pt>
                <c:pt idx="4">
                  <c:v>2.177197455032619E-2</c:v>
                </c:pt>
                <c:pt idx="5">
                  <c:v>2.1660560594254669E-2</c:v>
                </c:pt>
                <c:pt idx="6">
                  <c:v>2.171098872213573E-2</c:v>
                </c:pt>
                <c:pt idx="7">
                  <c:v>2.1745780785906974E-2</c:v>
                </c:pt>
                <c:pt idx="8">
                  <c:v>2.1971130613862324E-2</c:v>
                </c:pt>
                <c:pt idx="9">
                  <c:v>2.148200154590605E-2</c:v>
                </c:pt>
                <c:pt idx="10">
                  <c:v>2.3329196267927736E-2</c:v>
                </c:pt>
                <c:pt idx="11">
                  <c:v>2.3528745912851531E-2</c:v>
                </c:pt>
                <c:pt idx="12">
                  <c:v>2.3152703583316524E-2</c:v>
                </c:pt>
                <c:pt idx="13">
                  <c:v>2.293987021203283E-2</c:v>
                </c:pt>
                <c:pt idx="14">
                  <c:v>2.3170882204313945E-2</c:v>
                </c:pt>
                <c:pt idx="15">
                  <c:v>2.335653563738049E-2</c:v>
                </c:pt>
                <c:pt idx="16">
                  <c:v>2.2544955939909368E-2</c:v>
                </c:pt>
                <c:pt idx="17">
                  <c:v>2.285109338363121E-2</c:v>
                </c:pt>
                <c:pt idx="18">
                  <c:v>2.2578929361899584E-2</c:v>
                </c:pt>
                <c:pt idx="19">
                  <c:v>2.2406909462976538E-2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AA_S_phi_den!$A$8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AA_S_phi_den!$B$8:$U$8</c:f>
              <c:numCache>
                <c:formatCode>General</c:formatCode>
                <c:ptCount val="20"/>
                <c:pt idx="0">
                  <c:v>2.2667682233179751E-2</c:v>
                </c:pt>
                <c:pt idx="1">
                  <c:v>2.2967522607985392E-2</c:v>
                </c:pt>
                <c:pt idx="2">
                  <c:v>2.2459214637663739E-2</c:v>
                </c:pt>
                <c:pt idx="3">
                  <c:v>2.2017109423793198E-2</c:v>
                </c:pt>
                <c:pt idx="4">
                  <c:v>2.1871684920142024E-2</c:v>
                </c:pt>
                <c:pt idx="5">
                  <c:v>2.1862273940429167E-2</c:v>
                </c:pt>
                <c:pt idx="6">
                  <c:v>2.2076551281772158E-2</c:v>
                </c:pt>
                <c:pt idx="7">
                  <c:v>2.2170856530304515E-2</c:v>
                </c:pt>
                <c:pt idx="8">
                  <c:v>2.2365264145896215E-2</c:v>
                </c:pt>
                <c:pt idx="9">
                  <c:v>2.1864925799392226E-2</c:v>
                </c:pt>
                <c:pt idx="10">
                  <c:v>2.3520677977715902E-2</c:v>
                </c:pt>
                <c:pt idx="11">
                  <c:v>2.3501283550741506E-2</c:v>
                </c:pt>
                <c:pt idx="12">
                  <c:v>2.3215118770982836E-2</c:v>
                </c:pt>
                <c:pt idx="13">
                  <c:v>2.316654148004587E-2</c:v>
                </c:pt>
                <c:pt idx="14">
                  <c:v>2.3213287037667611E-2</c:v>
                </c:pt>
                <c:pt idx="15">
                  <c:v>2.3278755815769017E-2</c:v>
                </c:pt>
                <c:pt idx="16">
                  <c:v>2.2673153542849763E-2</c:v>
                </c:pt>
                <c:pt idx="17">
                  <c:v>2.2568781944276323E-2</c:v>
                </c:pt>
                <c:pt idx="18">
                  <c:v>2.2438460925941664E-2</c:v>
                </c:pt>
                <c:pt idx="19">
                  <c:v>2.2373008770109663E-2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AA_S_phi_den!$A$9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AA_S_phi_den!$B$9:$U$9</c:f>
              <c:numCache>
                <c:formatCode>General</c:formatCode>
                <c:ptCount val="20"/>
                <c:pt idx="0">
                  <c:v>2.2497446096128686E-2</c:v>
                </c:pt>
                <c:pt idx="1">
                  <c:v>2.2802549038356289E-2</c:v>
                </c:pt>
                <c:pt idx="2">
                  <c:v>2.2307858573266778E-2</c:v>
                </c:pt>
                <c:pt idx="3">
                  <c:v>2.1822031258783653E-2</c:v>
                </c:pt>
                <c:pt idx="4">
                  <c:v>2.1675258029646146E-2</c:v>
                </c:pt>
                <c:pt idx="5">
                  <c:v>2.1737311154356603E-2</c:v>
                </c:pt>
                <c:pt idx="6">
                  <c:v>2.1844124354029604E-2</c:v>
                </c:pt>
                <c:pt idx="7">
                  <c:v>2.1843238544579979E-2</c:v>
                </c:pt>
                <c:pt idx="8">
                  <c:v>2.2117574624300033E-2</c:v>
                </c:pt>
                <c:pt idx="9">
                  <c:v>2.1648114388392297E-2</c:v>
                </c:pt>
                <c:pt idx="10">
                  <c:v>2.3551921665121718E-2</c:v>
                </c:pt>
                <c:pt idx="11">
                  <c:v>2.3561169907523483E-2</c:v>
                </c:pt>
                <c:pt idx="12">
                  <c:v>2.3372675524264717E-2</c:v>
                </c:pt>
                <c:pt idx="13">
                  <c:v>2.2962221701745163E-2</c:v>
                </c:pt>
                <c:pt idx="14">
                  <c:v>2.3038260929680011E-2</c:v>
                </c:pt>
                <c:pt idx="15">
                  <c:v>2.3085297433683812E-2</c:v>
                </c:pt>
                <c:pt idx="16">
                  <c:v>2.2707149287379252E-2</c:v>
                </c:pt>
                <c:pt idx="17">
                  <c:v>2.2777595409212547E-2</c:v>
                </c:pt>
                <c:pt idx="18">
                  <c:v>2.2620495387659995E-2</c:v>
                </c:pt>
                <c:pt idx="19">
                  <c:v>2.2549575198171117E-2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AA_S_phi_den!$A$10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AA_S_phi_den!$B$10:$U$10</c:f>
              <c:numCache>
                <c:formatCode>General</c:formatCode>
                <c:ptCount val="20"/>
                <c:pt idx="0">
                  <c:v>2.2522876538440314E-2</c:v>
                </c:pt>
                <c:pt idx="1">
                  <c:v>2.2823488370147128E-2</c:v>
                </c:pt>
                <c:pt idx="2">
                  <c:v>2.2382019693064852E-2</c:v>
                </c:pt>
                <c:pt idx="3">
                  <c:v>2.1815046450418474E-2</c:v>
                </c:pt>
                <c:pt idx="4">
                  <c:v>2.1709341634928221E-2</c:v>
                </c:pt>
                <c:pt idx="5">
                  <c:v>2.1672585809170697E-2</c:v>
                </c:pt>
                <c:pt idx="6">
                  <c:v>2.1776148420931937E-2</c:v>
                </c:pt>
                <c:pt idx="7">
                  <c:v>2.1641663676307637E-2</c:v>
                </c:pt>
                <c:pt idx="8">
                  <c:v>2.2034909079085164E-2</c:v>
                </c:pt>
                <c:pt idx="9">
                  <c:v>2.1627280293460734E-2</c:v>
                </c:pt>
                <c:pt idx="10">
                  <c:v>2.3461170162173296E-2</c:v>
                </c:pt>
                <c:pt idx="11">
                  <c:v>2.3565069793918082E-2</c:v>
                </c:pt>
                <c:pt idx="12">
                  <c:v>2.3348546256272883E-2</c:v>
                </c:pt>
                <c:pt idx="13">
                  <c:v>2.314629463708269E-2</c:v>
                </c:pt>
                <c:pt idx="14">
                  <c:v>2.3232830675176924E-2</c:v>
                </c:pt>
                <c:pt idx="15">
                  <c:v>2.3288341612354269E-2</c:v>
                </c:pt>
                <c:pt idx="16">
                  <c:v>2.2707724863253776E-2</c:v>
                </c:pt>
                <c:pt idx="17">
                  <c:v>2.2776291242040246E-2</c:v>
                </c:pt>
                <c:pt idx="18">
                  <c:v>2.25278002593957E-2</c:v>
                </c:pt>
                <c:pt idx="19">
                  <c:v>2.2389921557558555E-2</c:v>
                </c:pt>
              </c:numCache>
            </c:numRef>
          </c:yVal>
          <c:smooth val="1"/>
        </c:ser>
        <c:axId val="65636992"/>
        <c:axId val="65655552"/>
      </c:scatterChart>
      <c:valAx>
        <c:axId val="6563699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655552"/>
        <c:crosses val="autoZero"/>
        <c:crossBetween val="midCat"/>
      </c:valAx>
      <c:valAx>
        <c:axId val="65655552"/>
        <c:scaling>
          <c:orientation val="minMax"/>
          <c:min val="0"/>
        </c:scaling>
        <c:axPos val="l"/>
        <c:numFmt formatCode="General" sourceLinked="1"/>
        <c:tickLblPos val="nextTo"/>
        <c:crossAx val="65636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454268363094E-2"/>
          <c:w val="0.15000025581597631"/>
          <c:h val="0.8368085221018930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AA_T_amphi_ty!$A$3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AA_T_amphi_ty!$B$3:$U$3</c:f>
              <c:numCache>
                <c:formatCode>General</c:formatCode>
                <c:ptCount val="20"/>
                <c:pt idx="0">
                  <c:v>136.56281000000001</c:v>
                </c:pt>
                <c:pt idx="1">
                  <c:v>98.765169999999998</c:v>
                </c:pt>
                <c:pt idx="2">
                  <c:v>62.350441000000004</c:v>
                </c:pt>
                <c:pt idx="3">
                  <c:v>41.939580999999997</c:v>
                </c:pt>
                <c:pt idx="4">
                  <c:v>31.376259000000001</c:v>
                </c:pt>
                <c:pt idx="5">
                  <c:v>24.7686961</c:v>
                </c:pt>
                <c:pt idx="6">
                  <c:v>20.531458799999999</c:v>
                </c:pt>
                <c:pt idx="7">
                  <c:v>17.341221600000001</c:v>
                </c:pt>
                <c:pt idx="8">
                  <c:v>15.206231300000001</c:v>
                </c:pt>
                <c:pt idx="9">
                  <c:v>13.289223400000001</c:v>
                </c:pt>
                <c:pt idx="10">
                  <c:v>12.878819699999999</c:v>
                </c:pt>
                <c:pt idx="11">
                  <c:v>11.5382303</c:v>
                </c:pt>
                <c:pt idx="12">
                  <c:v>10.4101751</c:v>
                </c:pt>
                <c:pt idx="13">
                  <c:v>9.4907381999999991</c:v>
                </c:pt>
                <c:pt idx="14">
                  <c:v>8.7724135000000008</c:v>
                </c:pt>
                <c:pt idx="15">
                  <c:v>8.169456799999999</c:v>
                </c:pt>
                <c:pt idx="16">
                  <c:v>7.5582950999999996</c:v>
                </c:pt>
                <c:pt idx="17">
                  <c:v>7.1408638999999994</c:v>
                </c:pt>
                <c:pt idx="18">
                  <c:v>6.6342115999999995</c:v>
                </c:pt>
                <c:pt idx="19">
                  <c:v>6.3628622000000004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AA_T_amphi_ty!$A$4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AA_T_amphi_ty!$B$4:$U$4</c:f>
              <c:numCache>
                <c:formatCode>General</c:formatCode>
                <c:ptCount val="20"/>
                <c:pt idx="0">
                  <c:v>136.04555999999999</c:v>
                </c:pt>
                <c:pt idx="1">
                  <c:v>98.051179999999988</c:v>
                </c:pt>
                <c:pt idx="2">
                  <c:v>62.232809000000003</c:v>
                </c:pt>
                <c:pt idx="3">
                  <c:v>41.776618999999997</c:v>
                </c:pt>
                <c:pt idx="4">
                  <c:v>31.362416999999997</c:v>
                </c:pt>
                <c:pt idx="5">
                  <c:v>24.710159600000001</c:v>
                </c:pt>
                <c:pt idx="6">
                  <c:v>20.434371199999998</c:v>
                </c:pt>
                <c:pt idx="7">
                  <c:v>17.2729933</c:v>
                </c:pt>
                <c:pt idx="8">
                  <c:v>15.252924199999999</c:v>
                </c:pt>
                <c:pt idx="9">
                  <c:v>13.1475419</c:v>
                </c:pt>
                <c:pt idx="10">
                  <c:v>12.6124896</c:v>
                </c:pt>
                <c:pt idx="11">
                  <c:v>11.4963578</c:v>
                </c:pt>
                <c:pt idx="12">
                  <c:v>10.4396837</c:v>
                </c:pt>
                <c:pt idx="13">
                  <c:v>9.6171793000000001</c:v>
                </c:pt>
                <c:pt idx="14">
                  <c:v>9.0250634999999999</c:v>
                </c:pt>
                <c:pt idx="15">
                  <c:v>8.4188686999999991</c:v>
                </c:pt>
                <c:pt idx="16">
                  <c:v>7.6970334000000005</c:v>
                </c:pt>
                <c:pt idx="17">
                  <c:v>7.3835027999999996</c:v>
                </c:pt>
                <c:pt idx="18">
                  <c:v>6.8288641000000005</c:v>
                </c:pt>
                <c:pt idx="19">
                  <c:v>6.4031032000000003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AA_T_amphi_ty!$A$5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AA_T_amphi_ty!$B$5:$U$5</c:f>
              <c:numCache>
                <c:formatCode>General</c:formatCode>
                <c:ptCount val="20"/>
                <c:pt idx="0">
                  <c:v>133.17885000000001</c:v>
                </c:pt>
                <c:pt idx="1">
                  <c:v>96.864086999999998</c:v>
                </c:pt>
                <c:pt idx="2">
                  <c:v>62.053624000000006</c:v>
                </c:pt>
                <c:pt idx="3">
                  <c:v>41.747363</c:v>
                </c:pt>
                <c:pt idx="4">
                  <c:v>31.106436000000002</c:v>
                </c:pt>
                <c:pt idx="5">
                  <c:v>24.935869400000001</c:v>
                </c:pt>
                <c:pt idx="6">
                  <c:v>20.7342324</c:v>
                </c:pt>
                <c:pt idx="7">
                  <c:v>17.574932199999999</c:v>
                </c:pt>
                <c:pt idx="8">
                  <c:v>15.3828792</c:v>
                </c:pt>
                <c:pt idx="9">
                  <c:v>13.165695699999999</c:v>
                </c:pt>
                <c:pt idx="10">
                  <c:v>12.5778871</c:v>
                </c:pt>
                <c:pt idx="11">
                  <c:v>11.5392467</c:v>
                </c:pt>
                <c:pt idx="12">
                  <c:v>10.3794009</c:v>
                </c:pt>
                <c:pt idx="13">
                  <c:v>9.4591829000000001</c:v>
                </c:pt>
                <c:pt idx="14">
                  <c:v>8.8802498000000014</c:v>
                </c:pt>
                <c:pt idx="15">
                  <c:v>8.3827093000000001</c:v>
                </c:pt>
                <c:pt idx="16">
                  <c:v>7.6049165000000007</c:v>
                </c:pt>
                <c:pt idx="17">
                  <c:v>7.1841941</c:v>
                </c:pt>
                <c:pt idx="18">
                  <c:v>6.8082266000000002</c:v>
                </c:pt>
                <c:pt idx="19">
                  <c:v>6.4240849000000004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AA_T_amphi_ty!$A$6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AA_T_amphi_ty!$B$6:$U$6</c:f>
              <c:numCache>
                <c:formatCode>General</c:formatCode>
                <c:ptCount val="20"/>
                <c:pt idx="0">
                  <c:v>137.76657</c:v>
                </c:pt>
                <c:pt idx="1">
                  <c:v>99.900629999999992</c:v>
                </c:pt>
                <c:pt idx="2">
                  <c:v>63.119830999999998</c:v>
                </c:pt>
                <c:pt idx="3">
                  <c:v>42.280411999999998</c:v>
                </c:pt>
                <c:pt idx="4">
                  <c:v>31.633923899999999</c:v>
                </c:pt>
                <c:pt idx="5">
                  <c:v>24.981809500000001</c:v>
                </c:pt>
                <c:pt idx="6">
                  <c:v>20.5695856</c:v>
                </c:pt>
                <c:pt idx="7">
                  <c:v>17.700458400000002</c:v>
                </c:pt>
                <c:pt idx="8">
                  <c:v>15.4723524</c:v>
                </c:pt>
                <c:pt idx="9">
                  <c:v>13.294259800000001</c:v>
                </c:pt>
                <c:pt idx="10">
                  <c:v>12.769641700000001</c:v>
                </c:pt>
                <c:pt idx="11">
                  <c:v>11.5895189</c:v>
                </c:pt>
                <c:pt idx="12">
                  <c:v>10.502853699999999</c:v>
                </c:pt>
                <c:pt idx="13">
                  <c:v>9.5079279999999997</c:v>
                </c:pt>
                <c:pt idx="14">
                  <c:v>8.8495384000000001</c:v>
                </c:pt>
                <c:pt idx="15">
                  <c:v>8.2887114999999998</c:v>
                </c:pt>
                <c:pt idx="16">
                  <c:v>7.4199275</c:v>
                </c:pt>
                <c:pt idx="17">
                  <c:v>7.0865130999999995</c:v>
                </c:pt>
                <c:pt idx="18">
                  <c:v>6.6409848999999994</c:v>
                </c:pt>
                <c:pt idx="19">
                  <c:v>6.3231920000000006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AA_T_amphi_ty!$A$7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AA_T_amphi_ty!$B$7:$U$7</c:f>
              <c:numCache>
                <c:formatCode>General</c:formatCode>
                <c:ptCount val="20"/>
                <c:pt idx="0">
                  <c:v>132.86358999999999</c:v>
                </c:pt>
                <c:pt idx="1">
                  <c:v>96.638622999999995</c:v>
                </c:pt>
                <c:pt idx="2">
                  <c:v>61.158400000000007</c:v>
                </c:pt>
                <c:pt idx="3">
                  <c:v>41.845195000000004</c:v>
                </c:pt>
                <c:pt idx="4">
                  <c:v>31.541471999999999</c:v>
                </c:pt>
                <c:pt idx="5">
                  <c:v>24.8388259</c:v>
                </c:pt>
                <c:pt idx="6">
                  <c:v>20.347974099999998</c:v>
                </c:pt>
                <c:pt idx="7">
                  <c:v>17.313695099999997</c:v>
                </c:pt>
                <c:pt idx="8">
                  <c:v>15.226456200000001</c:v>
                </c:pt>
                <c:pt idx="9">
                  <c:v>13.110833400000001</c:v>
                </c:pt>
                <c:pt idx="10">
                  <c:v>12.691948499999999</c:v>
                </c:pt>
                <c:pt idx="11">
                  <c:v>11.5794455</c:v>
                </c:pt>
                <c:pt idx="12">
                  <c:v>10.4539498</c:v>
                </c:pt>
                <c:pt idx="13">
                  <c:v>9.5635151</c:v>
                </c:pt>
                <c:pt idx="14">
                  <c:v>8.9821293999999998</c:v>
                </c:pt>
                <c:pt idx="15">
                  <c:v>8.4743200000000005</c:v>
                </c:pt>
                <c:pt idx="16">
                  <c:v>7.6167993000000003</c:v>
                </c:pt>
                <c:pt idx="17">
                  <c:v>7.2708273999999999</c:v>
                </c:pt>
                <c:pt idx="18">
                  <c:v>6.7548310999999996</c:v>
                </c:pt>
                <c:pt idx="19">
                  <c:v>6.4195203000000003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AA_T_amphi_ty!$A$8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AA_T_amphi_ty!$B$8:$U$8</c:f>
              <c:numCache>
                <c:formatCode>General</c:formatCode>
                <c:ptCount val="20"/>
                <c:pt idx="0">
                  <c:v>135.72187</c:v>
                </c:pt>
                <c:pt idx="1">
                  <c:v>98.174000000000007</c:v>
                </c:pt>
                <c:pt idx="2">
                  <c:v>62.085583999999997</c:v>
                </c:pt>
                <c:pt idx="3">
                  <c:v>41.900798999999999</c:v>
                </c:pt>
                <c:pt idx="4">
                  <c:v>31.390938999999996</c:v>
                </c:pt>
                <c:pt idx="5">
                  <c:v>24.887959800000001</c:v>
                </c:pt>
                <c:pt idx="6">
                  <c:v>20.5513406</c:v>
                </c:pt>
                <c:pt idx="7">
                  <c:v>17.481141999999998</c:v>
                </c:pt>
                <c:pt idx="8">
                  <c:v>15.3706792</c:v>
                </c:pt>
                <c:pt idx="9">
                  <c:v>13.2066108</c:v>
                </c:pt>
                <c:pt idx="10">
                  <c:v>12.663632</c:v>
                </c:pt>
                <c:pt idx="11">
                  <c:v>11.4206585</c:v>
                </c:pt>
                <c:pt idx="12">
                  <c:v>10.3568338</c:v>
                </c:pt>
                <c:pt idx="13">
                  <c:v>9.5785653999999987</c:v>
                </c:pt>
                <c:pt idx="14">
                  <c:v>8.8868517999999987</c:v>
                </c:pt>
                <c:pt idx="15">
                  <c:v>8.2955360999999996</c:v>
                </c:pt>
                <c:pt idx="16">
                  <c:v>7.5560739000000003</c:v>
                </c:pt>
                <c:pt idx="17">
                  <c:v>7.0888819999999999</c:v>
                </c:pt>
                <c:pt idx="18">
                  <c:v>6.5845380000000002</c:v>
                </c:pt>
                <c:pt idx="19">
                  <c:v>6.2976181999999996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AA_T_amphi_ty!$A$9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AA_T_amphi_ty!$B$9:$U$9</c:f>
              <c:numCache>
                <c:formatCode>General</c:formatCode>
                <c:ptCount val="20"/>
                <c:pt idx="0">
                  <c:v>129.83697999999998</c:v>
                </c:pt>
                <c:pt idx="1">
                  <c:v>94.892200000000003</c:v>
                </c:pt>
                <c:pt idx="2">
                  <c:v>60.122202999999999</c:v>
                </c:pt>
                <c:pt idx="3">
                  <c:v>41.128430999999999</c:v>
                </c:pt>
                <c:pt idx="4">
                  <c:v>30.695792000000001</c:v>
                </c:pt>
                <c:pt idx="5">
                  <c:v>24.496777399999999</c:v>
                </c:pt>
                <c:pt idx="6">
                  <c:v>20.235471500000003</c:v>
                </c:pt>
                <c:pt idx="7">
                  <c:v>17.0945547</c:v>
                </c:pt>
                <c:pt idx="8">
                  <c:v>15.0887905</c:v>
                </c:pt>
                <c:pt idx="9">
                  <c:v>13.003943</c:v>
                </c:pt>
                <c:pt idx="10">
                  <c:v>12.747880500000001</c:v>
                </c:pt>
                <c:pt idx="11">
                  <c:v>11.4332096</c:v>
                </c:pt>
                <c:pt idx="12">
                  <c:v>10.3201106</c:v>
                </c:pt>
                <c:pt idx="13">
                  <c:v>9.3577227999999995</c:v>
                </c:pt>
                <c:pt idx="14">
                  <c:v>8.6867623999999992</c:v>
                </c:pt>
                <c:pt idx="15">
                  <c:v>8.2640449</c:v>
                </c:pt>
                <c:pt idx="16">
                  <c:v>7.5534679000000002</c:v>
                </c:pt>
                <c:pt idx="17">
                  <c:v>7.1163587000000001</c:v>
                </c:pt>
                <c:pt idx="18">
                  <c:v>6.6706561999999998</c:v>
                </c:pt>
                <c:pt idx="19">
                  <c:v>6.3975793999999997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AA_T_amphi_ty!$A$10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AA_T_amphi_ty!$B$10:$U$10</c:f>
              <c:numCache>
                <c:formatCode>General</c:formatCode>
                <c:ptCount val="20"/>
                <c:pt idx="0">
                  <c:v>132.33455000000001</c:v>
                </c:pt>
                <c:pt idx="1">
                  <c:v>95.903350000000003</c:v>
                </c:pt>
                <c:pt idx="2">
                  <c:v>61.220226999999994</c:v>
                </c:pt>
                <c:pt idx="3">
                  <c:v>41.380942000000005</c:v>
                </c:pt>
                <c:pt idx="4">
                  <c:v>31.265239999999999</c:v>
                </c:pt>
                <c:pt idx="5">
                  <c:v>24.737945500000002</c:v>
                </c:pt>
                <c:pt idx="6">
                  <c:v>20.363999199999999</c:v>
                </c:pt>
                <c:pt idx="7">
                  <c:v>17.2126281</c:v>
                </c:pt>
                <c:pt idx="8">
                  <c:v>15.3162004</c:v>
                </c:pt>
                <c:pt idx="9">
                  <c:v>13.2531862</c:v>
                </c:pt>
                <c:pt idx="10">
                  <c:v>12.8595779</c:v>
                </c:pt>
                <c:pt idx="11">
                  <c:v>11.6174163</c:v>
                </c:pt>
                <c:pt idx="12">
                  <c:v>10.547264799999999</c:v>
                </c:pt>
                <c:pt idx="13">
                  <c:v>9.6219950000000001</c:v>
                </c:pt>
                <c:pt idx="14">
                  <c:v>8.9387924999999999</c:v>
                </c:pt>
                <c:pt idx="15">
                  <c:v>8.3025803000000007</c:v>
                </c:pt>
                <c:pt idx="16">
                  <c:v>7.6091432999999995</c:v>
                </c:pt>
                <c:pt idx="17">
                  <c:v>7.2007513999999997</c:v>
                </c:pt>
                <c:pt idx="18">
                  <c:v>6.7285551999999997</c:v>
                </c:pt>
                <c:pt idx="19">
                  <c:v>6.3390677999999996</c:v>
                </c:pt>
              </c:numCache>
            </c:numRef>
          </c:yVal>
          <c:smooth val="1"/>
        </c:ser>
        <c:axId val="65836544"/>
        <c:axId val="65838464"/>
      </c:scatterChart>
      <c:valAx>
        <c:axId val="6583654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38464"/>
        <c:crosses val="autoZero"/>
        <c:crossBetween val="midCat"/>
      </c:valAx>
      <c:valAx>
        <c:axId val="65838464"/>
        <c:scaling>
          <c:orientation val="minMax"/>
        </c:scaling>
        <c:axPos val="l"/>
        <c:numFmt formatCode="General" sourceLinked="1"/>
        <c:tickLblPos val="nextTo"/>
        <c:crossAx val="65836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467020764423E-2"/>
          <c:w val="0.15000030638193587"/>
          <c:h val="0.836808461072543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AA_amphi_den!$A$3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AA_amphi_den!$B$3:$U$3</c:f>
              <c:numCache>
                <c:formatCode>General</c:formatCode>
                <c:ptCount val="20"/>
                <c:pt idx="0">
                  <c:v>1.5907949431095161E-2</c:v>
                </c:pt>
                <c:pt idx="1">
                  <c:v>1.7748618605817994E-2</c:v>
                </c:pt>
                <c:pt idx="2">
                  <c:v>1.92611496863405E-2</c:v>
                </c:pt>
                <c:pt idx="3">
                  <c:v>1.945582569558519E-2</c:v>
                </c:pt>
                <c:pt idx="4">
                  <c:v>1.9798095294583838E-2</c:v>
                </c:pt>
                <c:pt idx="5">
                  <c:v>1.9998866455928719E-2</c:v>
                </c:pt>
                <c:pt idx="6">
                  <c:v>2.0298232113021383E-2</c:v>
                </c:pt>
                <c:pt idx="7">
                  <c:v>2.0345489474004073E-2</c:v>
                </c:pt>
                <c:pt idx="8">
                  <c:v>2.0705348151198212E-2</c:v>
                </c:pt>
                <c:pt idx="9">
                  <c:v>2.0438421926279274E-2</c:v>
                </c:pt>
                <c:pt idx="10">
                  <c:v>2.2092581718737372E-2</c:v>
                </c:pt>
                <c:pt idx="11">
                  <c:v>2.2073236419386182E-2</c:v>
                </c:pt>
                <c:pt idx="12">
                  <c:v>2.1875851273611233E-2</c:v>
                </c:pt>
                <c:pt idx="13">
                  <c:v>2.1655862851697856E-2</c:v>
                </c:pt>
                <c:pt idx="14">
                  <c:v>2.1872257525963355E-2</c:v>
                </c:pt>
                <c:pt idx="15">
                  <c:v>2.181960583212476E-2</c:v>
                </c:pt>
                <c:pt idx="16">
                  <c:v>2.1396265849122301E-2</c:v>
                </c:pt>
                <c:pt idx="17">
                  <c:v>2.1477961885741439E-2</c:v>
                </c:pt>
                <c:pt idx="18">
                  <c:v>2.12422292550664E-2</c:v>
                </c:pt>
                <c:pt idx="19">
                  <c:v>2.1211180997997178E-2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AA_amphi_den!$A$4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AA_amphi_den!$B$4:$U$4</c:f>
              <c:numCache>
                <c:formatCode>General</c:formatCode>
                <c:ptCount val="20"/>
                <c:pt idx="0">
                  <c:v>1.5782849671716455E-2</c:v>
                </c:pt>
                <c:pt idx="1">
                  <c:v>1.758262208702226E-2</c:v>
                </c:pt>
                <c:pt idx="2">
                  <c:v>1.9115988852223154E-2</c:v>
                </c:pt>
                <c:pt idx="3">
                  <c:v>1.9384714718170392E-2</c:v>
                </c:pt>
                <c:pt idx="4">
                  <c:v>1.9810261252952988E-2</c:v>
                </c:pt>
                <c:pt idx="5">
                  <c:v>1.9854614380240325E-2</c:v>
                </c:pt>
                <c:pt idx="6">
                  <c:v>2.0283844787829512E-2</c:v>
                </c:pt>
                <c:pt idx="7">
                  <c:v>2.0254742564268055E-2</c:v>
                </c:pt>
                <c:pt idx="8">
                  <c:v>2.0624364671625029E-2</c:v>
                </c:pt>
                <c:pt idx="9">
                  <c:v>2.0144756641849511E-2</c:v>
                </c:pt>
                <c:pt idx="10">
                  <c:v>2.1715786309255091E-2</c:v>
                </c:pt>
                <c:pt idx="11">
                  <c:v>2.1945523498789466E-2</c:v>
                </c:pt>
                <c:pt idx="12">
                  <c:v>2.190166713660173E-2</c:v>
                </c:pt>
                <c:pt idx="13">
                  <c:v>2.1779142506128595E-2</c:v>
                </c:pt>
                <c:pt idx="14">
                  <c:v>2.1920439202359084E-2</c:v>
                </c:pt>
                <c:pt idx="15">
                  <c:v>2.1975126400058467E-2</c:v>
                </c:pt>
                <c:pt idx="16">
                  <c:v>2.1368225084693819E-2</c:v>
                </c:pt>
                <c:pt idx="17">
                  <c:v>2.1638141022541347E-2</c:v>
                </c:pt>
                <c:pt idx="18">
                  <c:v>2.1566255102704664E-2</c:v>
                </c:pt>
                <c:pt idx="19">
                  <c:v>2.1317605901316025E-2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AA_amphi_den!$A$5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AA_amphi_den!$B$5:$U$5</c:f>
              <c:numCache>
                <c:formatCode>General</c:formatCode>
                <c:ptCount val="20"/>
                <c:pt idx="0">
                  <c:v>1.5823268556144573E-2</c:v>
                </c:pt>
                <c:pt idx="1">
                  <c:v>1.7725923151135758E-2</c:v>
                </c:pt>
                <c:pt idx="2">
                  <c:v>1.9171666765531697E-2</c:v>
                </c:pt>
                <c:pt idx="3">
                  <c:v>1.9293005554888023E-2</c:v>
                </c:pt>
                <c:pt idx="4">
                  <c:v>1.9544141457741557E-2</c:v>
                </c:pt>
                <c:pt idx="5">
                  <c:v>1.9844188087854125E-2</c:v>
                </c:pt>
                <c:pt idx="6">
                  <c:v>2.0152921382715568E-2</c:v>
                </c:pt>
                <c:pt idx="7">
                  <c:v>2.0359569573290735E-2</c:v>
                </c:pt>
                <c:pt idx="8">
                  <c:v>2.0684973700173234E-2</c:v>
                </c:pt>
                <c:pt idx="9">
                  <c:v>2.0313773275707905E-2</c:v>
                </c:pt>
                <c:pt idx="10">
                  <c:v>2.1937885645346423E-2</c:v>
                </c:pt>
                <c:pt idx="11">
                  <c:v>2.2059920682334564E-2</c:v>
                </c:pt>
                <c:pt idx="12">
                  <c:v>2.1771941688941546E-2</c:v>
                </c:pt>
                <c:pt idx="13">
                  <c:v>2.1561494545792731E-2</c:v>
                </c:pt>
                <c:pt idx="14">
                  <c:v>2.1735006326960689E-2</c:v>
                </c:pt>
                <c:pt idx="15">
                  <c:v>2.1888632530565642E-2</c:v>
                </c:pt>
                <c:pt idx="16">
                  <c:v>2.1350723953304715E-2</c:v>
                </c:pt>
                <c:pt idx="17">
                  <c:v>2.1441451258129119E-2</c:v>
                </c:pt>
                <c:pt idx="18">
                  <c:v>2.1510406829516427E-2</c:v>
                </c:pt>
                <c:pt idx="19">
                  <c:v>2.1360024033034452E-2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AA_amphi_den!$A$6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AA_amphi_den!$B$6:$U$6</c:f>
              <c:numCache>
                <c:formatCode>General</c:formatCode>
                <c:ptCount val="20"/>
                <c:pt idx="0">
                  <c:v>1.6029088569405752E-2</c:v>
                </c:pt>
                <c:pt idx="1">
                  <c:v>1.787267969712171E-2</c:v>
                </c:pt>
                <c:pt idx="2">
                  <c:v>1.9416235116717664E-2</c:v>
                </c:pt>
                <c:pt idx="3">
                  <c:v>1.9617086371407959E-2</c:v>
                </c:pt>
                <c:pt idx="4">
                  <c:v>1.9914838208075745E-2</c:v>
                </c:pt>
                <c:pt idx="5">
                  <c:v>2.0090852247229868E-2</c:v>
                </c:pt>
                <c:pt idx="6">
                  <c:v>2.0363829467064776E-2</c:v>
                </c:pt>
                <c:pt idx="7">
                  <c:v>2.0664675982185878E-2</c:v>
                </c:pt>
                <c:pt idx="8">
                  <c:v>2.0922574175272872E-2</c:v>
                </c:pt>
                <c:pt idx="9">
                  <c:v>2.047637492381579E-2</c:v>
                </c:pt>
                <c:pt idx="10">
                  <c:v>2.1920329126583413E-2</c:v>
                </c:pt>
                <c:pt idx="11">
                  <c:v>2.2134911872082018E-2</c:v>
                </c:pt>
                <c:pt idx="12">
                  <c:v>2.2033055918128111E-2</c:v>
                </c:pt>
                <c:pt idx="13">
                  <c:v>2.1804948806830492E-2</c:v>
                </c:pt>
                <c:pt idx="14">
                  <c:v>2.1833304755295099E-2</c:v>
                </c:pt>
                <c:pt idx="15">
                  <c:v>2.2035648800837748E-2</c:v>
                </c:pt>
                <c:pt idx="16">
                  <c:v>2.120716689203074E-2</c:v>
                </c:pt>
                <c:pt idx="17">
                  <c:v>2.1346069863405284E-2</c:v>
                </c:pt>
                <c:pt idx="18">
                  <c:v>2.1406946297485987E-2</c:v>
                </c:pt>
                <c:pt idx="19">
                  <c:v>2.1218337885814384E-2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AA_amphi_den!$A$7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AA_amphi_den!$B$7:$U$7</c:f>
              <c:numCache>
                <c:formatCode>General</c:formatCode>
                <c:ptCount val="20"/>
                <c:pt idx="0">
                  <c:v>1.578631636867027E-2</c:v>
                </c:pt>
                <c:pt idx="1">
                  <c:v>1.7608032576782062E-2</c:v>
                </c:pt>
                <c:pt idx="2">
                  <c:v>1.9062473311527491E-2</c:v>
                </c:pt>
                <c:pt idx="3">
                  <c:v>1.9213719666042364E-2</c:v>
                </c:pt>
                <c:pt idx="4">
                  <c:v>1.9610123673549574E-2</c:v>
                </c:pt>
                <c:pt idx="5">
                  <c:v>1.9790048178775367E-2</c:v>
                </c:pt>
                <c:pt idx="6">
                  <c:v>1.9992487676621984E-2</c:v>
                </c:pt>
                <c:pt idx="7">
                  <c:v>2.0091492633647214E-2</c:v>
                </c:pt>
                <c:pt idx="8">
                  <c:v>2.0427793148026362E-2</c:v>
                </c:pt>
                <c:pt idx="9">
                  <c:v>2.0000038746658483E-2</c:v>
                </c:pt>
                <c:pt idx="10">
                  <c:v>2.1781449927603672E-2</c:v>
                </c:pt>
                <c:pt idx="11">
                  <c:v>2.1964430145594349E-2</c:v>
                </c:pt>
                <c:pt idx="12">
                  <c:v>2.168422522082069E-2</c:v>
                </c:pt>
                <c:pt idx="13">
                  <c:v>2.1524972394691318E-2</c:v>
                </c:pt>
                <c:pt idx="14">
                  <c:v>2.1761844249754147E-2</c:v>
                </c:pt>
                <c:pt idx="15">
                  <c:v>2.1954361833288388E-2</c:v>
                </c:pt>
                <c:pt idx="16">
                  <c:v>2.1195574608051024E-2</c:v>
                </c:pt>
                <c:pt idx="17">
                  <c:v>2.1444914225680414E-2</c:v>
                </c:pt>
                <c:pt idx="18">
                  <c:v>2.1178312051027368E-2</c:v>
                </c:pt>
                <c:pt idx="19">
                  <c:v>2.1047614441840799E-2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AA_amphi_den!$A$8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AA_amphi_den!$B$8:$U$8</c:f>
              <c:numCache>
                <c:formatCode>General</c:formatCode>
                <c:ptCount val="20"/>
                <c:pt idx="0">
                  <c:v>1.5813598551954796E-2</c:v>
                </c:pt>
                <c:pt idx="1">
                  <c:v>1.7591271271902634E-2</c:v>
                </c:pt>
                <c:pt idx="2">
                  <c:v>1.9067620699038165E-2</c:v>
                </c:pt>
                <c:pt idx="3">
                  <c:v>1.9459093492891762E-2</c:v>
                </c:pt>
                <c:pt idx="4">
                  <c:v>1.9693952336916488E-2</c:v>
                </c:pt>
                <c:pt idx="5">
                  <c:v>1.9978486487527876E-2</c:v>
                </c:pt>
                <c:pt idx="6">
                  <c:v>2.0322006753783553E-2</c:v>
                </c:pt>
                <c:pt idx="7">
                  <c:v>2.0478682533562987E-2</c:v>
                </c:pt>
                <c:pt idx="8">
                  <c:v>2.0785260291088965E-2</c:v>
                </c:pt>
                <c:pt idx="9">
                  <c:v>2.0385615145228055E-2</c:v>
                </c:pt>
                <c:pt idx="10">
                  <c:v>2.2055801894687449E-2</c:v>
                </c:pt>
                <c:pt idx="11">
                  <c:v>2.2006326550431662E-2</c:v>
                </c:pt>
                <c:pt idx="12">
                  <c:v>2.1887336629553895E-2</c:v>
                </c:pt>
                <c:pt idx="13">
                  <c:v>2.1855478058650814E-2</c:v>
                </c:pt>
                <c:pt idx="14">
                  <c:v>2.1961367415083932E-2</c:v>
                </c:pt>
                <c:pt idx="15">
                  <c:v>2.1972596023574712E-2</c:v>
                </c:pt>
                <c:pt idx="16">
                  <c:v>2.1374748058512378E-2</c:v>
                </c:pt>
                <c:pt idx="17">
                  <c:v>2.1314240699481943E-2</c:v>
                </c:pt>
                <c:pt idx="18">
                  <c:v>2.1170480139024419E-2</c:v>
                </c:pt>
                <c:pt idx="19">
                  <c:v>2.1204330147664888E-2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AA_amphi_den!$A$9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AA_amphi_den!$B$9:$U$9</c:f>
              <c:numCache>
                <c:formatCode>General</c:formatCode>
                <c:ptCount val="20"/>
                <c:pt idx="0">
                  <c:v>1.548987449974976E-2</c:v>
                </c:pt>
                <c:pt idx="1">
                  <c:v>1.7408787151736015E-2</c:v>
                </c:pt>
                <c:pt idx="2">
                  <c:v>1.8901621795299039E-2</c:v>
                </c:pt>
                <c:pt idx="3">
                  <c:v>1.9129645150847634E-2</c:v>
                </c:pt>
                <c:pt idx="4">
                  <c:v>1.9432845250930149E-2</c:v>
                </c:pt>
                <c:pt idx="5">
                  <c:v>1.9782075727672384E-2</c:v>
                </c:pt>
                <c:pt idx="6">
                  <c:v>2.0003688758356921E-2</c:v>
                </c:pt>
                <c:pt idx="7">
                  <c:v>2.0127679217544495E-2</c:v>
                </c:pt>
                <c:pt idx="8">
                  <c:v>2.0345113275677482E-2</c:v>
                </c:pt>
                <c:pt idx="9">
                  <c:v>2.0076841653793077E-2</c:v>
                </c:pt>
                <c:pt idx="10">
                  <c:v>2.188529938916987E-2</c:v>
                </c:pt>
                <c:pt idx="11">
                  <c:v>2.1975113011284887E-2</c:v>
                </c:pt>
                <c:pt idx="12">
                  <c:v>2.183978908746001E-2</c:v>
                </c:pt>
                <c:pt idx="13">
                  <c:v>2.147542909100339E-2</c:v>
                </c:pt>
                <c:pt idx="14">
                  <c:v>2.1558440681768657E-2</c:v>
                </c:pt>
                <c:pt idx="15">
                  <c:v>2.1603984951536388E-2</c:v>
                </c:pt>
                <c:pt idx="16">
                  <c:v>2.1222202617476985E-2</c:v>
                </c:pt>
                <c:pt idx="17">
                  <c:v>2.1407817009091244E-2</c:v>
                </c:pt>
                <c:pt idx="18">
                  <c:v>2.1222115149986145E-2</c:v>
                </c:pt>
                <c:pt idx="19">
                  <c:v>2.1197591572624748E-2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AA_amphi_den!$A$10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AA_amphi_den!$B$10:$U$10</c:f>
              <c:numCache>
                <c:formatCode>General</c:formatCode>
                <c:ptCount val="20"/>
                <c:pt idx="0">
                  <c:v>1.5711488201829583E-2</c:v>
                </c:pt>
                <c:pt idx="1">
                  <c:v>1.7493923399722187E-2</c:v>
                </c:pt>
                <c:pt idx="2">
                  <c:v>1.9021980217462497E-2</c:v>
                </c:pt>
                <c:pt idx="3">
                  <c:v>1.9173350853676562E-2</c:v>
                </c:pt>
                <c:pt idx="4">
                  <c:v>1.9499655102303018E-2</c:v>
                </c:pt>
                <c:pt idx="5">
                  <c:v>1.9740058730355059E-2</c:v>
                </c:pt>
                <c:pt idx="6">
                  <c:v>2.0000549219581758E-2</c:v>
                </c:pt>
                <c:pt idx="7">
                  <c:v>1.9949534688172406E-2</c:v>
                </c:pt>
                <c:pt idx="8">
                  <c:v>2.0342543982738017E-2</c:v>
                </c:pt>
                <c:pt idx="9">
                  <c:v>2.0153418384136125E-2</c:v>
                </c:pt>
                <c:pt idx="10">
                  <c:v>2.1935527390202346E-2</c:v>
                </c:pt>
                <c:pt idx="11">
                  <c:v>2.2091517062551535E-2</c:v>
                </c:pt>
                <c:pt idx="12">
                  <c:v>2.1940155863347483E-2</c:v>
                </c:pt>
                <c:pt idx="13">
                  <c:v>2.1815159616676929E-2</c:v>
                </c:pt>
                <c:pt idx="14">
                  <c:v>2.193954201523507E-2</c:v>
                </c:pt>
                <c:pt idx="15">
                  <c:v>2.1974654158945946E-2</c:v>
                </c:pt>
                <c:pt idx="16">
                  <c:v>2.1441587216782791E-2</c:v>
                </c:pt>
                <c:pt idx="17">
                  <c:v>2.1494267002579042E-2</c:v>
                </c:pt>
                <c:pt idx="18">
                  <c:v>2.1199136981502064E-2</c:v>
                </c:pt>
                <c:pt idx="19">
                  <c:v>2.1093670668731086E-2</c:v>
                </c:pt>
              </c:numCache>
            </c:numRef>
          </c:yVal>
          <c:smooth val="1"/>
        </c:ser>
        <c:axId val="65921408"/>
        <c:axId val="65923328"/>
      </c:scatterChart>
      <c:valAx>
        <c:axId val="6592140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23328"/>
        <c:crosses val="autoZero"/>
        <c:crossBetween val="midCat"/>
      </c:valAx>
      <c:valAx>
        <c:axId val="65923328"/>
        <c:scaling>
          <c:orientation val="minMax"/>
        </c:scaling>
        <c:axPos val="l"/>
        <c:numFmt formatCode="General" sourceLinked="1"/>
        <c:tickLblPos val="nextTo"/>
        <c:crossAx val="65921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552393670085E-2"/>
          <c:w val="0.15000025581597631"/>
          <c:h val="0.83680833755429773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136196983159209"/>
          <c:y val="4.989517819706496E-2"/>
          <c:w val="0.73632934015543772"/>
          <c:h val="0.84318658280922398"/>
        </c:manualLayout>
      </c:layout>
      <c:scatterChart>
        <c:scatterStyle val="smoothMarker"/>
        <c:ser>
          <c:idx val="0"/>
          <c:order val="0"/>
          <c:tx>
            <c:strRef>
              <c:f>AA_R_phophi_ty!$A$3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AA_R_phophi_ty!$B$3:$U$3</c:f>
              <c:numCache>
                <c:formatCode>General</c:formatCode>
                <c:ptCount val="20"/>
                <c:pt idx="0">
                  <c:v>-0.13027400645275516</c:v>
                </c:pt>
                <c:pt idx="1">
                  <c:v>-9.2828058766527513E-2</c:v>
                </c:pt>
                <c:pt idx="2">
                  <c:v>-5.2602437871444453E-2</c:v>
                </c:pt>
                <c:pt idx="3">
                  <c:v>-3.8662232641021116E-2</c:v>
                </c:pt>
                <c:pt idx="4">
                  <c:v>-3.2187489300510151E-2</c:v>
                </c:pt>
                <c:pt idx="5">
                  <c:v>-2.3865667859607389E-2</c:v>
                </c:pt>
                <c:pt idx="6">
                  <c:v>-2.3719653889699092E-2</c:v>
                </c:pt>
                <c:pt idx="7">
                  <c:v>-2.2986835477840716E-2</c:v>
                </c:pt>
                <c:pt idx="8">
                  <c:v>-2.0212004958788447E-2</c:v>
                </c:pt>
                <c:pt idx="9">
                  <c:v>-1.9252743522188028E-2</c:v>
                </c:pt>
                <c:pt idx="10">
                  <c:v>-1.9257986964378592E-2</c:v>
                </c:pt>
                <c:pt idx="11">
                  <c:v>-1.8979761016064332E-2</c:v>
                </c:pt>
                <c:pt idx="12">
                  <c:v>-1.883178856133565E-2</c:v>
                </c:pt>
                <c:pt idx="13">
                  <c:v>-1.8658392191155025E-2</c:v>
                </c:pt>
                <c:pt idx="14">
                  <c:v>-1.8655462504494263E-2</c:v>
                </c:pt>
                <c:pt idx="15">
                  <c:v>-1.8666775577472521E-2</c:v>
                </c:pt>
                <c:pt idx="16">
                  <c:v>-1.6359049026301153E-2</c:v>
                </c:pt>
                <c:pt idx="17">
                  <c:v>-1.6993100649518256E-2</c:v>
                </c:pt>
                <c:pt idx="18">
                  <c:v>-1.7913317404910575E-2</c:v>
                </c:pt>
                <c:pt idx="19">
                  <c:v>-1.7820211360776821E-2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AA_R_phophi_ty!$A$4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AA_R_phophi_ty!$B$4:$U$4</c:f>
              <c:numCache>
                <c:formatCode>General</c:formatCode>
                <c:ptCount val="20"/>
                <c:pt idx="0">
                  <c:v>-0.13239182604159427</c:v>
                </c:pt>
                <c:pt idx="1">
                  <c:v>-9.4922767056877494E-2</c:v>
                </c:pt>
                <c:pt idx="2">
                  <c:v>-5.4236776325467674E-2</c:v>
                </c:pt>
                <c:pt idx="3">
                  <c:v>-3.8830900153182905E-2</c:v>
                </c:pt>
                <c:pt idx="4">
                  <c:v>-3.1784503448075728E-2</c:v>
                </c:pt>
                <c:pt idx="5">
                  <c:v>-2.5709526102023445E-2</c:v>
                </c:pt>
                <c:pt idx="6">
                  <c:v>-2.4219712275631675E-2</c:v>
                </c:pt>
                <c:pt idx="7">
                  <c:v>-2.3057210533995905E-2</c:v>
                </c:pt>
                <c:pt idx="8">
                  <c:v>-2.1663328131504289E-2</c:v>
                </c:pt>
                <c:pt idx="9">
                  <c:v>-2.1142662930182139E-2</c:v>
                </c:pt>
                <c:pt idx="10">
                  <c:v>-2.0885748820210024E-2</c:v>
                </c:pt>
                <c:pt idx="11">
                  <c:v>-2.0580477136939817E-2</c:v>
                </c:pt>
                <c:pt idx="12">
                  <c:v>-1.8946585473579358E-2</c:v>
                </c:pt>
                <c:pt idx="13">
                  <c:v>-1.8558731842731078E-2</c:v>
                </c:pt>
                <c:pt idx="14">
                  <c:v>-1.8516840936248957E-2</c:v>
                </c:pt>
                <c:pt idx="15">
                  <c:v>-1.7865158564345885E-2</c:v>
                </c:pt>
                <c:pt idx="16">
                  <c:v>-1.7677716989290344E-2</c:v>
                </c:pt>
                <c:pt idx="17">
                  <c:v>-1.6901956795097602E-2</c:v>
                </c:pt>
                <c:pt idx="18">
                  <c:v>-1.7032337242491244E-2</c:v>
                </c:pt>
                <c:pt idx="19">
                  <c:v>-1.7587975703837081E-2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AA_R_phophi_ty!$A$5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AA_R_phophi_ty!$B$5:$U$5</c:f>
              <c:numCache>
                <c:formatCode>General</c:formatCode>
                <c:ptCount val="20"/>
                <c:pt idx="0">
                  <c:v>-0.12866385683741111</c:v>
                </c:pt>
                <c:pt idx="1">
                  <c:v>-9.0072220004227224E-2</c:v>
                </c:pt>
                <c:pt idx="2">
                  <c:v>-5.1578811261297465E-2</c:v>
                </c:pt>
                <c:pt idx="3">
                  <c:v>-3.8517842090474846E-2</c:v>
                </c:pt>
                <c:pt idx="4">
                  <c:v>-3.1887388538362163E-2</c:v>
                </c:pt>
                <c:pt idx="5">
                  <c:v>-2.5474753309303565E-2</c:v>
                </c:pt>
                <c:pt idx="6">
                  <c:v>-2.3065994841635185E-2</c:v>
                </c:pt>
                <c:pt idx="7">
                  <c:v>-2.1124182642501474E-2</c:v>
                </c:pt>
                <c:pt idx="8">
                  <c:v>-1.8790084618299136E-2</c:v>
                </c:pt>
                <c:pt idx="9">
                  <c:v>-1.8682749033828126E-2</c:v>
                </c:pt>
                <c:pt idx="10">
                  <c:v>-1.9273415271807485E-2</c:v>
                </c:pt>
                <c:pt idx="11">
                  <c:v>-1.9511074555161202E-2</c:v>
                </c:pt>
                <c:pt idx="12">
                  <c:v>-1.9093724483624158E-2</c:v>
                </c:pt>
                <c:pt idx="13">
                  <c:v>-1.9888968488055395E-2</c:v>
                </c:pt>
                <c:pt idx="14">
                  <c:v>-1.8731989873775799E-2</c:v>
                </c:pt>
                <c:pt idx="15">
                  <c:v>-1.7651330652239793E-2</c:v>
                </c:pt>
                <c:pt idx="16">
                  <c:v>-1.7720554510262124E-2</c:v>
                </c:pt>
                <c:pt idx="17">
                  <c:v>-1.7846158178820994E-2</c:v>
                </c:pt>
                <c:pt idx="18">
                  <c:v>-1.85389345101248E-2</c:v>
                </c:pt>
                <c:pt idx="19">
                  <c:v>-1.934779552328415E-2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AA_R_phophi_ty!$A$6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AA_R_phophi_ty!$B$6:$U$6</c:f>
              <c:numCache>
                <c:formatCode>General</c:formatCode>
                <c:ptCount val="20"/>
                <c:pt idx="0">
                  <c:v>-0.12860788845498466</c:v>
                </c:pt>
                <c:pt idx="1">
                  <c:v>-9.1875197713612522E-2</c:v>
                </c:pt>
                <c:pt idx="2">
                  <c:v>-5.2007543108465379E-2</c:v>
                </c:pt>
                <c:pt idx="3">
                  <c:v>-3.8079180236678445E-2</c:v>
                </c:pt>
                <c:pt idx="4">
                  <c:v>-3.0506780094234208E-2</c:v>
                </c:pt>
                <c:pt idx="5">
                  <c:v>-2.4230778094200607E-2</c:v>
                </c:pt>
                <c:pt idx="6">
                  <c:v>-2.3842748671222477E-2</c:v>
                </c:pt>
                <c:pt idx="7">
                  <c:v>-2.1140689961808883E-2</c:v>
                </c:pt>
                <c:pt idx="8">
                  <c:v>-1.9734589301462761E-2</c:v>
                </c:pt>
                <c:pt idx="9">
                  <c:v>-1.86290159464132E-2</c:v>
                </c:pt>
                <c:pt idx="10">
                  <c:v>-1.9368838245841992E-2</c:v>
                </c:pt>
                <c:pt idx="11">
                  <c:v>-1.9036152430673702E-2</c:v>
                </c:pt>
                <c:pt idx="12">
                  <c:v>-1.8179891617814914E-2</c:v>
                </c:pt>
                <c:pt idx="13">
                  <c:v>-1.8614671429538727E-2</c:v>
                </c:pt>
                <c:pt idx="14">
                  <c:v>-1.8895680110935981E-2</c:v>
                </c:pt>
                <c:pt idx="15">
                  <c:v>-1.7803799687568025E-2</c:v>
                </c:pt>
                <c:pt idx="16">
                  <c:v>-1.7642037176124867E-2</c:v>
                </c:pt>
                <c:pt idx="17">
                  <c:v>-1.8177489185286257E-2</c:v>
                </c:pt>
                <c:pt idx="18">
                  <c:v>-1.7848416145715484E-2</c:v>
                </c:pt>
                <c:pt idx="19">
                  <c:v>-1.7293126513723597E-2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AA_R_phophi_ty!$A$7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AA_R_phophi_ty!$B$7:$U$7</c:f>
              <c:numCache>
                <c:formatCode>General</c:formatCode>
                <c:ptCount val="20"/>
                <c:pt idx="0">
                  <c:v>-0.13101586510507518</c:v>
                </c:pt>
                <c:pt idx="1">
                  <c:v>-9.3229402905948416E-2</c:v>
                </c:pt>
                <c:pt idx="2">
                  <c:v>-5.4124340742525624E-2</c:v>
                </c:pt>
                <c:pt idx="3">
                  <c:v>-4.0988855171313725E-2</c:v>
                </c:pt>
                <c:pt idx="4">
                  <c:v>-3.3921376386452623E-2</c:v>
                </c:pt>
                <c:pt idx="5">
                  <c:v>-2.7722343675688585E-2</c:v>
                </c:pt>
                <c:pt idx="6">
                  <c:v>-2.5111316063069843E-2</c:v>
                </c:pt>
                <c:pt idx="7">
                  <c:v>-2.4329906725333382E-2</c:v>
                </c:pt>
                <c:pt idx="8">
                  <c:v>-2.1648497948389103E-2</c:v>
                </c:pt>
                <c:pt idx="9">
                  <c:v>-2.147590267028297E-2</c:v>
                </c:pt>
                <c:pt idx="10">
                  <c:v>-2.0575672643144544E-2</c:v>
                </c:pt>
                <c:pt idx="11">
                  <c:v>-2.0953652026207231E-2</c:v>
                </c:pt>
                <c:pt idx="12">
                  <c:v>-1.9539911219822383E-2</c:v>
                </c:pt>
                <c:pt idx="13">
                  <c:v>-1.8788213821854655E-2</c:v>
                </c:pt>
                <c:pt idx="14">
                  <c:v>-1.8091217377720393E-2</c:v>
                </c:pt>
                <c:pt idx="15">
                  <c:v>-1.8114261971682807E-2</c:v>
                </c:pt>
                <c:pt idx="16">
                  <c:v>-1.8127757358628326E-2</c:v>
                </c:pt>
                <c:pt idx="17">
                  <c:v>-1.8725976199187564E-2</c:v>
                </c:pt>
                <c:pt idx="18">
                  <c:v>-1.9620831234282519E-2</c:v>
                </c:pt>
                <c:pt idx="19">
                  <c:v>-1.9270887997407747E-2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AA_R_phophi_ty!$A$8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AA_R_phophi_ty!$B$8:$U$8</c:f>
              <c:numCache>
                <c:formatCode>General</c:formatCode>
                <c:ptCount val="20"/>
                <c:pt idx="0">
                  <c:v>-0.1323251728357335</c:v>
                </c:pt>
                <c:pt idx="1">
                  <c:v>-9.6194264745279312E-2</c:v>
                </c:pt>
                <c:pt idx="2">
                  <c:v>-5.6204245300371554E-2</c:v>
                </c:pt>
                <c:pt idx="3">
                  <c:v>-4.0687820585027325E-2</c:v>
                </c:pt>
                <c:pt idx="4">
                  <c:v>-3.4294917940596303E-2</c:v>
                </c:pt>
                <c:pt idx="5">
                  <c:v>-2.7737732532905901E-2</c:v>
                </c:pt>
                <c:pt idx="6">
                  <c:v>-2.5594580857572557E-2</c:v>
                </c:pt>
                <c:pt idx="7">
                  <c:v>-2.4110270568407467E-2</c:v>
                </c:pt>
                <c:pt idx="8">
                  <c:v>-2.1598409674353711E-2</c:v>
                </c:pt>
                <c:pt idx="9">
                  <c:v>-2.0439513491141641E-2</c:v>
                </c:pt>
                <c:pt idx="10">
                  <c:v>-1.8789365983451274E-2</c:v>
                </c:pt>
                <c:pt idx="11">
                  <c:v>-1.9718781946355443E-2</c:v>
                </c:pt>
                <c:pt idx="12">
                  <c:v>-1.6899705454362514E-2</c:v>
                </c:pt>
                <c:pt idx="13">
                  <c:v>-1.6897485744161493E-2</c:v>
                </c:pt>
                <c:pt idx="14">
                  <c:v>-1.6157908015928171E-2</c:v>
                </c:pt>
                <c:pt idx="15">
                  <c:v>-1.6963296646728326E-2</c:v>
                </c:pt>
                <c:pt idx="16">
                  <c:v>-1.747285723796585E-2</c:v>
                </c:pt>
                <c:pt idx="17">
                  <c:v>-1.7564531174794243E-2</c:v>
                </c:pt>
                <c:pt idx="18">
                  <c:v>-1.820950299724319E-2</c:v>
                </c:pt>
                <c:pt idx="19">
                  <c:v>-1.6714954333336664E-2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AA_R_phophi_ty!$A$9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AA_R_phophi_ty!$B$9:$U$9</c:f>
              <c:numCache>
                <c:formatCode>General</c:formatCode>
                <c:ptCount val="20"/>
                <c:pt idx="0">
                  <c:v>-0.14020369646842243</c:v>
                </c:pt>
                <c:pt idx="1">
                  <c:v>-9.9755993897950049E-2</c:v>
                </c:pt>
                <c:pt idx="2">
                  <c:v>-5.8908082230763194E-2</c:v>
                </c:pt>
                <c:pt idx="3">
                  <c:v>-4.5493142396829611E-2</c:v>
                </c:pt>
                <c:pt idx="4">
                  <c:v>-3.7816729426124754E-2</c:v>
                </c:pt>
                <c:pt idx="5">
                  <c:v>-3.1320637878210308E-2</c:v>
                </c:pt>
                <c:pt idx="6">
                  <c:v>-2.9477978272515845E-2</c:v>
                </c:pt>
                <c:pt idx="7">
                  <c:v>-2.6783108454312553E-2</c:v>
                </c:pt>
                <c:pt idx="8">
                  <c:v>-2.6804651330785238E-2</c:v>
                </c:pt>
                <c:pt idx="9">
                  <c:v>-2.3900945478128502E-2</c:v>
                </c:pt>
                <c:pt idx="10">
                  <c:v>-2.2715072929076412E-2</c:v>
                </c:pt>
                <c:pt idx="11">
                  <c:v>-2.1204735936443255E-2</c:v>
                </c:pt>
                <c:pt idx="12">
                  <c:v>-1.9839433944344193E-2</c:v>
                </c:pt>
                <c:pt idx="13">
                  <c:v>-2.0033073554466697E-2</c:v>
                </c:pt>
                <c:pt idx="14">
                  <c:v>-2.0045739970310648E-2</c:v>
                </c:pt>
                <c:pt idx="15">
                  <c:v>-2.0140845688317078E-2</c:v>
                </c:pt>
                <c:pt idx="16">
                  <c:v>-2.0732669059649152E-2</c:v>
                </c:pt>
                <c:pt idx="17">
                  <c:v>-1.857717964938382E-2</c:v>
                </c:pt>
                <c:pt idx="18">
                  <c:v>-1.9497555893430607E-2</c:v>
                </c:pt>
                <c:pt idx="19">
                  <c:v>-1.8915955073272536E-2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AA_R_phophi_ty!$A$10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AA_R_phophi_ty!$B$10:$U$10</c:f>
              <c:numCache>
                <c:formatCode>General</c:formatCode>
                <c:ptCount val="20"/>
                <c:pt idx="0">
                  <c:v>-0.13526329030382039</c:v>
                </c:pt>
                <c:pt idx="1">
                  <c:v>-9.8481572629390168E-2</c:v>
                </c:pt>
                <c:pt idx="2">
                  <c:v>-5.783799090313789E-2</c:v>
                </c:pt>
                <c:pt idx="3">
                  <c:v>-4.4651880732419963E-2</c:v>
                </c:pt>
                <c:pt idx="4">
                  <c:v>-3.6862632990644108E-2</c:v>
                </c:pt>
                <c:pt idx="5">
                  <c:v>-3.0885528438467872E-2</c:v>
                </c:pt>
                <c:pt idx="6">
                  <c:v>-2.7897156823432818E-2</c:v>
                </c:pt>
                <c:pt idx="7">
                  <c:v>-2.6918850865435114E-2</c:v>
                </c:pt>
                <c:pt idx="8">
                  <c:v>-2.5804124058875871E-2</c:v>
                </c:pt>
                <c:pt idx="9">
                  <c:v>-2.2011176647256717E-2</c:v>
                </c:pt>
                <c:pt idx="10">
                  <c:v>-2.0034482811175938E-2</c:v>
                </c:pt>
                <c:pt idx="11">
                  <c:v>-1.9116594885269376E-2</c:v>
                </c:pt>
                <c:pt idx="12">
                  <c:v>-1.7796481216422976E-2</c:v>
                </c:pt>
                <c:pt idx="13">
                  <c:v>-1.6996408592162816E-2</c:v>
                </c:pt>
                <c:pt idx="14">
                  <c:v>-1.6409312186871385E-2</c:v>
                </c:pt>
                <c:pt idx="15">
                  <c:v>-1.6688677704518189E-2</c:v>
                </c:pt>
                <c:pt idx="16">
                  <c:v>-1.6792986166619246E-2</c:v>
                </c:pt>
                <c:pt idx="17">
                  <c:v>-1.7141797170701106E-2</c:v>
                </c:pt>
                <c:pt idx="18">
                  <c:v>-1.8548858683134859E-2</c:v>
                </c:pt>
                <c:pt idx="19">
                  <c:v>-1.8268041396773283E-2</c:v>
                </c:pt>
              </c:numCache>
            </c:numRef>
          </c:yVal>
          <c:smooth val="1"/>
        </c:ser>
        <c:axId val="65998848"/>
        <c:axId val="66001152"/>
      </c:scatterChart>
      <c:valAx>
        <c:axId val="65998848"/>
        <c:scaling>
          <c:orientation val="minMax"/>
          <c:max val="21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Probe radius (Å)</a:t>
                </a:r>
              </a:p>
            </c:rich>
          </c:tx>
        </c:title>
        <c:numFmt formatCode="General" sourceLinked="1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66001152"/>
        <c:crosses val="autoZero"/>
        <c:crossBetween val="midCat"/>
      </c:valAx>
      <c:valAx>
        <c:axId val="66001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Ratio [hydrophobicity]/[hydrophilicity]</a:t>
                </a:r>
              </a:p>
            </c:rich>
          </c:tx>
        </c:title>
        <c:numFmt formatCode="General" sourceLinked="1"/>
        <c:tickLblPos val="nextTo"/>
        <c:crossAx val="65998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724290561240824"/>
          <c:y val="0.23812125984251969"/>
          <c:w val="0.19409887966338837"/>
          <c:h val="0.64393634757919471"/>
        </c:manualLayout>
      </c:layout>
      <c:spPr>
        <a:ln>
          <a:solidFill>
            <a:schemeClr val="accent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' AA_R_phoamp_ty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'!$B$3:$U$3</c:f>
              <c:numCache>
                <c:formatCode>General</c:formatCode>
                <c:ptCount val="20"/>
                <c:pt idx="0">
                  <c:v>-0.14978741283955713</c:v>
                </c:pt>
                <c:pt idx="1">
                  <c:v>-0.10232686279991215</c:v>
                </c:pt>
                <c:pt idx="2">
                  <c:v>-5.5523087639428245E-2</c:v>
                </c:pt>
                <c:pt idx="3">
                  <c:v>-4.0217116141432127E-2</c:v>
                </c:pt>
                <c:pt idx="4">
                  <c:v>-3.3257980181767371E-2</c:v>
                </c:pt>
                <c:pt idx="5">
                  <c:v>-2.444916347453591E-2</c:v>
                </c:pt>
                <c:pt idx="6">
                  <c:v>-2.4295945303214401E-2</c:v>
                </c:pt>
                <c:pt idx="7">
                  <c:v>-2.3527661972787429E-2</c:v>
                </c:pt>
                <c:pt idx="8">
                  <c:v>-2.0628957551106036E-2</c:v>
                </c:pt>
                <c:pt idx="9">
                  <c:v>-1.9630688125838864E-2</c:v>
                </c:pt>
                <c:pt idx="10">
                  <c:v>-1.9636139482564541E-2</c:v>
                </c:pt>
                <c:pt idx="11">
                  <c:v>-1.9346961726010962E-2</c:v>
                </c:pt>
                <c:pt idx="12">
                  <c:v>-1.9193231437576876E-2</c:v>
                </c:pt>
                <c:pt idx="13">
                  <c:v>-1.9013146943617096E-2</c:v>
                </c:pt>
                <c:pt idx="14">
                  <c:v>-1.901010480183133E-2</c:v>
                </c:pt>
                <c:pt idx="15">
                  <c:v>-1.9021852224005886E-2</c:v>
                </c:pt>
                <c:pt idx="16">
                  <c:v>-1.6631118306031742E-2</c:v>
                </c:pt>
                <c:pt idx="17">
                  <c:v>-1.7286857966863085E-2</c:v>
                </c:pt>
                <c:pt idx="18">
                  <c:v>-1.8240057341553595E-2</c:v>
                </c:pt>
                <c:pt idx="19">
                  <c:v>-1.8143532952827422E-2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 AA_R_phoamp_ty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'!$B$4:$U$4</c:f>
              <c:numCache>
                <c:formatCode>General</c:formatCode>
                <c:ptCount val="20"/>
                <c:pt idx="0">
                  <c:v>-0.15259402805942363</c:v>
                </c:pt>
                <c:pt idx="1">
                  <c:v>-0.10487808509800699</c:v>
                </c:pt>
                <c:pt idx="2">
                  <c:v>-5.7347098055625288E-2</c:v>
                </c:pt>
                <c:pt idx="3">
                  <c:v>-4.0399655127668424E-2</c:v>
                </c:pt>
                <c:pt idx="4">
                  <c:v>-3.2827922669352944E-2</c:v>
                </c:pt>
                <c:pt idx="5">
                  <c:v>-2.6387947733044995E-2</c:v>
                </c:pt>
                <c:pt idx="6">
                  <c:v>-2.4820866521207172E-2</c:v>
                </c:pt>
                <c:pt idx="7">
                  <c:v>-2.3601392817074733E-2</c:v>
                </c:pt>
                <c:pt idx="8">
                  <c:v>-2.2143019631606115E-2</c:v>
                </c:pt>
                <c:pt idx="9">
                  <c:v>-2.1599330290021743E-2</c:v>
                </c:pt>
                <c:pt idx="10">
                  <c:v>-2.133126833262166E-2</c:v>
                </c:pt>
                <c:pt idx="11">
                  <c:v>-2.1012933330937209E-2</c:v>
                </c:pt>
                <c:pt idx="12">
                  <c:v>-1.9312491239557382E-2</c:v>
                </c:pt>
                <c:pt idx="13">
                  <c:v>-1.8909671362787216E-2</c:v>
                </c:pt>
                <c:pt idx="14">
                  <c:v>-1.8866183046800721E-2</c:v>
                </c:pt>
                <c:pt idx="15">
                  <c:v>-1.8190128086924558E-2</c:v>
                </c:pt>
                <c:pt idx="16">
                  <c:v>-1.799584239818941E-2</c:v>
                </c:pt>
                <c:pt idx="17">
                  <c:v>-1.7192544438393118E-2</c:v>
                </c:pt>
                <c:pt idx="18">
                  <c:v>-1.7327464460743916E-2</c:v>
                </c:pt>
                <c:pt idx="19">
                  <c:v>-1.7902850605312746E-2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 AA_R_phoamp_ty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'!$B$5:$U$5</c:f>
              <c:numCache>
                <c:formatCode>General</c:formatCode>
                <c:ptCount val="20"/>
                <c:pt idx="0">
                  <c:v>-0.14766271070819426</c:v>
                </c:pt>
                <c:pt idx="1">
                  <c:v>-9.8988317517512955E-2</c:v>
                </c:pt>
                <c:pt idx="2">
                  <c:v>-5.438386644428695E-2</c:v>
                </c:pt>
                <c:pt idx="3">
                  <c:v>-4.0060901571196246E-2</c:v>
                </c:pt>
                <c:pt idx="4">
                  <c:v>-3.2937685307310678E-2</c:v>
                </c:pt>
                <c:pt idx="5">
                  <c:v>-2.6140680701511852E-2</c:v>
                </c:pt>
                <c:pt idx="6">
                  <c:v>-2.3610596744348251E-2</c:v>
                </c:pt>
                <c:pt idx="7">
                  <c:v>-2.158004342116324E-2</c:v>
                </c:pt>
                <c:pt idx="8">
                  <c:v>-1.9149913105993836E-2</c:v>
                </c:pt>
                <c:pt idx="9">
                  <c:v>-1.9038439419498357E-2</c:v>
                </c:pt>
                <c:pt idx="10">
                  <c:v>-1.9652179895938166E-2</c:v>
                </c:pt>
                <c:pt idx="11">
                  <c:v>-1.9899331903528852E-2</c:v>
                </c:pt>
                <c:pt idx="12">
                  <c:v>-1.9465391302112629E-2</c:v>
                </c:pt>
                <c:pt idx="13">
                  <c:v>-2.0292566707849576E-2</c:v>
                </c:pt>
                <c:pt idx="14">
                  <c:v>-1.9089575610812207E-2</c:v>
                </c:pt>
                <c:pt idx="15">
                  <c:v>-1.7968498561676236E-2</c:v>
                </c:pt>
                <c:pt idx="16">
                  <c:v>-1.8040237522660502E-2</c:v>
                </c:pt>
                <c:pt idx="17">
                  <c:v>-1.8170430556713382E-2</c:v>
                </c:pt>
                <c:pt idx="18">
                  <c:v>-1.8889118643612715E-2</c:v>
                </c:pt>
                <c:pt idx="19">
                  <c:v>-1.9729518207332531E-2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 AA_R_phoamp_ty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'!$B$6:$U$6</c:f>
              <c:numCache>
                <c:formatCode>General</c:formatCode>
                <c:ptCount val="20"/>
                <c:pt idx="0">
                  <c:v>-0.14758899782436335</c:v>
                </c:pt>
                <c:pt idx="1">
                  <c:v>-0.10117023286039338</c:v>
                </c:pt>
                <c:pt idx="2">
                  <c:v>-5.4860714059896641E-2</c:v>
                </c:pt>
                <c:pt idx="3">
                  <c:v>-3.9586605731278118E-2</c:v>
                </c:pt>
                <c:pt idx="4">
                  <c:v>-3.1466728665930692E-2</c:v>
                </c:pt>
                <c:pt idx="5">
                  <c:v>-2.483248861536631E-2</c:v>
                </c:pt>
                <c:pt idx="6">
                  <c:v>-2.4425110440727597E-2</c:v>
                </c:pt>
                <c:pt idx="7">
                  <c:v>-2.1597271175756667E-2</c:v>
                </c:pt>
                <c:pt idx="8">
                  <c:v>-2.0131883759317681E-2</c:v>
                </c:pt>
                <c:pt idx="9">
                  <c:v>-1.8982643922755289E-2</c:v>
                </c:pt>
                <c:pt idx="10">
                  <c:v>-1.9751399915942824E-2</c:v>
                </c:pt>
                <c:pt idx="11">
                  <c:v>-1.9405559621633647E-2</c:v>
                </c:pt>
                <c:pt idx="12">
                  <c:v>-1.8516519943527349E-2</c:v>
                </c:pt>
                <c:pt idx="13">
                  <c:v>-1.8967749860958141E-2</c:v>
                </c:pt>
                <c:pt idx="14">
                  <c:v>-1.9259603416151062E-2</c:v>
                </c:pt>
                <c:pt idx="15">
                  <c:v>-1.8126520629895251E-2</c:v>
                </c:pt>
                <c:pt idx="16">
                  <c:v>-1.7958868196488443E-2</c:v>
                </c:pt>
                <c:pt idx="17">
                  <c:v>-1.8514027724015641E-2</c:v>
                </c:pt>
                <c:pt idx="18">
                  <c:v>-1.8172771330951229E-2</c:v>
                </c:pt>
                <c:pt idx="19">
                  <c:v>-1.7597441292309324E-2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 AA_R_phoamp_ty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'!$B$7:$U$7</c:f>
              <c:numCache>
                <c:formatCode>General</c:formatCode>
                <c:ptCount val="20"/>
                <c:pt idx="0">
                  <c:v>-0.15076899547874631</c:v>
                </c:pt>
                <c:pt idx="1">
                  <c:v>-0.10281476175421084</c:v>
                </c:pt>
                <c:pt idx="2">
                  <c:v>-5.7221411940142311E-2</c:v>
                </c:pt>
                <c:pt idx="3">
                  <c:v>-4.2740749565153176E-2</c:v>
                </c:pt>
                <c:pt idx="4">
                  <c:v>-3.5112438633174765E-2</c:v>
                </c:pt>
                <c:pt idx="5">
                  <c:v>-2.8512784897775704E-2</c:v>
                </c:pt>
                <c:pt idx="6">
                  <c:v>-2.5758136776869597E-2</c:v>
                </c:pt>
                <c:pt idx="7">
                  <c:v>-2.493661217356196E-2</c:v>
                </c:pt>
                <c:pt idx="8">
                  <c:v>-2.212752564184961E-2</c:v>
                </c:pt>
                <c:pt idx="9">
                  <c:v>-2.1947239448561678E-2</c:v>
                </c:pt>
                <c:pt idx="10">
                  <c:v>-2.1007924827302918E-2</c:v>
                </c:pt>
                <c:pt idx="11">
                  <c:v>-2.1402104271745999E-2</c:v>
                </c:pt>
                <c:pt idx="12">
                  <c:v>-1.9929328529968645E-2</c:v>
                </c:pt>
                <c:pt idx="13">
                  <c:v>-1.9147969976018545E-2</c:v>
                </c:pt>
                <c:pt idx="14">
                  <c:v>-1.8424539731079805E-2</c:v>
                </c:pt>
                <c:pt idx="15">
                  <c:v>-1.8448441880882478E-2</c:v>
                </c:pt>
                <c:pt idx="16">
                  <c:v>-1.8462439991034026E-2</c:v>
                </c:pt>
                <c:pt idx="17">
                  <c:v>-1.9083330186052828E-2</c:v>
                </c:pt>
                <c:pt idx="18">
                  <c:v>-2.0013512995165787E-2</c:v>
                </c:pt>
                <c:pt idx="19">
                  <c:v>-1.9649552319353204E-2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 AA_R_phoamp_ty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'!$B$8:$U$8</c:f>
              <c:numCache>
                <c:formatCode>General</c:formatCode>
                <c:ptCount val="20"/>
                <c:pt idx="0">
                  <c:v>-0.15250548787752483</c:v>
                </c:pt>
                <c:pt idx="1">
                  <c:v>-0.10643245665858576</c:v>
                </c:pt>
                <c:pt idx="2">
                  <c:v>-5.9551280052387044E-2</c:v>
                </c:pt>
                <c:pt idx="3">
                  <c:v>-4.2413534882711906E-2</c:v>
                </c:pt>
                <c:pt idx="4">
                  <c:v>-3.5512827443613594E-2</c:v>
                </c:pt>
                <c:pt idx="5">
                  <c:v>-2.8529064081821601E-2</c:v>
                </c:pt>
                <c:pt idx="6">
                  <c:v>-2.6266870395793059E-2</c:v>
                </c:pt>
                <c:pt idx="7">
                  <c:v>-2.4705937403860689E-2</c:v>
                </c:pt>
                <c:pt idx="8">
                  <c:v>-2.2075198863040484E-2</c:v>
                </c:pt>
                <c:pt idx="9">
                  <c:v>-2.0866004471033553E-2</c:v>
                </c:pt>
                <c:pt idx="10">
                  <c:v>-1.9149166684565691E-2</c:v>
                </c:pt>
                <c:pt idx="11">
                  <c:v>-2.0115433799198182E-2</c:v>
                </c:pt>
                <c:pt idx="12">
                  <c:v>-1.7190215024981862E-2</c:v>
                </c:pt>
                <c:pt idx="13">
                  <c:v>-1.718791834944302E-2</c:v>
                </c:pt>
                <c:pt idx="14">
                  <c:v>-1.6423273762706386E-2</c:v>
                </c:pt>
                <c:pt idx="15">
                  <c:v>-1.7256015557571981E-2</c:v>
                </c:pt>
                <c:pt idx="16">
                  <c:v>-1.7783587320393993E-2</c:v>
                </c:pt>
                <c:pt idx="17">
                  <c:v>-1.7878559693898136E-2</c:v>
                </c:pt>
                <c:pt idx="18">
                  <c:v>-1.8547239001430321E-2</c:v>
                </c:pt>
                <c:pt idx="19">
                  <c:v>-1.6999093403280627E-2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 AA_R_phoamp_ty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'!$B$9:$U$9</c:f>
              <c:numCache>
                <c:formatCode>General</c:formatCode>
                <c:ptCount val="20"/>
                <c:pt idx="0">
                  <c:v>-0.16306617729401904</c:v>
                </c:pt>
                <c:pt idx="1">
                  <c:v>-0.11080995065980133</c:v>
                </c:pt>
                <c:pt idx="2">
                  <c:v>-6.25954607817681E-2</c:v>
                </c:pt>
                <c:pt idx="3">
                  <c:v>-4.7661409694913968E-2</c:v>
                </c:pt>
                <c:pt idx="4">
                  <c:v>-3.9303041928352912E-2</c:v>
                </c:pt>
                <c:pt idx="5">
                  <c:v>-3.2333338670089723E-2</c:v>
                </c:pt>
                <c:pt idx="6">
                  <c:v>-3.0373322410599618E-2</c:v>
                </c:pt>
                <c:pt idx="7">
                  <c:v>-2.7520184541572179E-2</c:v>
                </c:pt>
                <c:pt idx="8">
                  <c:v>-2.7542929965128748E-2</c:v>
                </c:pt>
                <c:pt idx="9">
                  <c:v>-2.4486188535277339E-2</c:v>
                </c:pt>
                <c:pt idx="10">
                  <c:v>-2.3243040284226069E-2</c:v>
                </c:pt>
                <c:pt idx="11">
                  <c:v>-2.166411783441808E-2</c:v>
                </c:pt>
                <c:pt idx="12">
                  <c:v>-2.0241004006294274E-2</c:v>
                </c:pt>
                <c:pt idx="13">
                  <c:v>-2.0442601697925913E-2</c:v>
                </c:pt>
                <c:pt idx="14">
                  <c:v>-2.0455791446534789E-2</c:v>
                </c:pt>
                <c:pt idx="15">
                  <c:v>-2.0554837498523271E-2</c:v>
                </c:pt>
                <c:pt idx="16">
                  <c:v>-2.1171613107669393E-2</c:v>
                </c:pt>
                <c:pt idx="17">
                  <c:v>-1.8928823809850955E-2</c:v>
                </c:pt>
                <c:pt idx="18">
                  <c:v>-1.9885270057839289E-2</c:v>
                </c:pt>
                <c:pt idx="19">
                  <c:v>-1.9280667309889112E-2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 AA_R_phoamp_ty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'!$B$10:$U$10</c:f>
              <c:numCache>
                <c:formatCode>General</c:formatCode>
                <c:ptCount val="20"/>
                <c:pt idx="0">
                  <c:v>-0.15642135783890149</c:v>
                </c:pt>
                <c:pt idx="1">
                  <c:v>-0.10923966681038774</c:v>
                </c:pt>
                <c:pt idx="2">
                  <c:v>-6.1388583221032494E-2</c:v>
                </c:pt>
                <c:pt idx="3">
                  <c:v>-4.6738858675570989E-2</c:v>
                </c:pt>
                <c:pt idx="4">
                  <c:v>-3.8273494782064689E-2</c:v>
                </c:pt>
                <c:pt idx="5">
                  <c:v>-3.1869845456648775E-2</c:v>
                </c:pt>
                <c:pt idx="6">
                  <c:v>-2.8697742239157036E-2</c:v>
                </c:pt>
                <c:pt idx="7">
                  <c:v>-2.766352106335232E-2</c:v>
                </c:pt>
                <c:pt idx="8">
                  <c:v>-2.6487613729577475E-2</c:v>
                </c:pt>
                <c:pt idx="9">
                  <c:v>-2.2506572796811682E-2</c:v>
                </c:pt>
                <c:pt idx="10">
                  <c:v>-2.0444069163420987E-2</c:v>
                </c:pt>
                <c:pt idx="11">
                  <c:v>-1.9489161286231946E-2</c:v>
                </c:pt>
                <c:pt idx="12">
                  <c:v>-1.8118934493803553E-2</c:v>
                </c:pt>
                <c:pt idx="13">
                  <c:v>-1.7290281277427391E-2</c:v>
                </c:pt>
                <c:pt idx="14">
                  <c:v>-1.6683069888913965E-2</c:v>
                </c:pt>
                <c:pt idx="15">
                  <c:v>-1.6971916549846557E-2</c:v>
                </c:pt>
                <c:pt idx="16">
                  <c:v>-1.7079807131507169E-2</c:v>
                </c:pt>
                <c:pt idx="17">
                  <c:v>-1.7440763195907583E-2</c:v>
                </c:pt>
                <c:pt idx="18">
                  <c:v>-1.8899421379496149E-2</c:v>
                </c:pt>
                <c:pt idx="19">
                  <c:v>-1.8607972610736236E-2</c:v>
                </c:pt>
              </c:numCache>
            </c:numRef>
          </c:yVal>
          <c:smooth val="1"/>
        </c:ser>
        <c:axId val="66034688"/>
        <c:axId val="66126976"/>
      </c:scatterChart>
      <c:valAx>
        <c:axId val="6603468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26976"/>
        <c:crosses val="autoZero"/>
        <c:crossBetween val="midCat"/>
      </c:valAx>
      <c:valAx>
        <c:axId val="66126976"/>
        <c:scaling>
          <c:orientation val="minMax"/>
          <c:max val="0"/>
        </c:scaling>
        <c:axPos val="l"/>
        <c:numFmt formatCode="General" sourceLinked="1"/>
        <c:tickLblPos val="nextTo"/>
        <c:crossAx val="66034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443651831981E-2"/>
          <c:w val="0.15000030638193587"/>
          <c:h val="0.8368085964176108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AA_pho_A!$A$3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AA_pho_A!$B$3:$U$3</c:f>
              <c:numCache>
                <c:formatCode>General</c:formatCode>
                <c:ptCount val="20"/>
                <c:pt idx="0">
                  <c:v>1647.6959999999999</c:v>
                </c:pt>
                <c:pt idx="1">
                  <c:v>816.0865</c:v>
                </c:pt>
                <c:pt idx="2">
                  <c:v>301.47770000000003</c:v>
                </c:pt>
                <c:pt idx="3">
                  <c:v>155.99690000000001</c:v>
                </c:pt>
                <c:pt idx="4">
                  <c:v>97.351879999999994</c:v>
                </c:pt>
                <c:pt idx="5">
                  <c:v>61.789969999999997</c:v>
                </c:pt>
                <c:pt idx="6">
                  <c:v>50.434010000000001</c:v>
                </c:pt>
                <c:pt idx="7">
                  <c:v>41.407020000000003</c:v>
                </c:pt>
                <c:pt idx="8">
                  <c:v>33.34299</c:v>
                </c:pt>
                <c:pt idx="9">
                  <c:v>28.685009999999998</c:v>
                </c:pt>
                <c:pt idx="10">
                  <c:v>25.975020000000001</c:v>
                </c:pt>
                <c:pt idx="11">
                  <c:v>22.338010000000001</c:v>
                </c:pt>
                <c:pt idx="12">
                  <c:v>21.108000000000001</c:v>
                </c:pt>
                <c:pt idx="13">
                  <c:v>18.699000000000002</c:v>
                </c:pt>
                <c:pt idx="14">
                  <c:v>17.23</c:v>
                </c:pt>
                <c:pt idx="15">
                  <c:v>15.98</c:v>
                </c:pt>
                <c:pt idx="16">
                  <c:v>13.154999999999999</c:v>
                </c:pt>
                <c:pt idx="17">
                  <c:v>12.43</c:v>
                </c:pt>
                <c:pt idx="18">
                  <c:v>11.936</c:v>
                </c:pt>
                <c:pt idx="19">
                  <c:v>11.209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AA_pho_A!$B$4:$U$4</c:f>
              <c:numCache>
                <c:formatCode>General</c:formatCode>
                <c:ptCount val="20"/>
                <c:pt idx="0">
                  <c:v>1665.616</c:v>
                </c:pt>
                <c:pt idx="1">
                  <c:v>826.76080000000002</c:v>
                </c:pt>
                <c:pt idx="2">
                  <c:v>309.84550000000002</c:v>
                </c:pt>
                <c:pt idx="3">
                  <c:v>157.4769</c:v>
                </c:pt>
                <c:pt idx="4">
                  <c:v>97.272869999999998</c:v>
                </c:pt>
                <c:pt idx="5">
                  <c:v>66.142970000000005</c:v>
                </c:pt>
                <c:pt idx="6">
                  <c:v>49.889020000000002</c:v>
                </c:pt>
                <c:pt idx="7">
                  <c:v>41.863030000000002</c:v>
                </c:pt>
                <c:pt idx="8">
                  <c:v>34.482990000000001</c:v>
                </c:pt>
                <c:pt idx="9">
                  <c:v>30.821020000000001</c:v>
                </c:pt>
                <c:pt idx="10">
                  <c:v>27.154019999999999</c:v>
                </c:pt>
                <c:pt idx="11">
                  <c:v>24.19501</c:v>
                </c:pt>
                <c:pt idx="12">
                  <c:v>21.077999999999999</c:v>
                </c:pt>
                <c:pt idx="13">
                  <c:v>18.922989999999999</c:v>
                </c:pt>
                <c:pt idx="14">
                  <c:v>17.236999999999998</c:v>
                </c:pt>
                <c:pt idx="15">
                  <c:v>15.263</c:v>
                </c:pt>
                <c:pt idx="16">
                  <c:v>14.31</c:v>
                </c:pt>
                <c:pt idx="17">
                  <c:v>12.89</c:v>
                </c:pt>
                <c:pt idx="18">
                  <c:v>11.922000000000001</c:v>
                </c:pt>
                <c:pt idx="19">
                  <c:v>11.441000000000001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AA_pho_A!$B$5:$U$5</c:f>
              <c:numCache>
                <c:formatCode>General</c:formatCode>
                <c:ptCount val="20"/>
                <c:pt idx="0">
                  <c:v>1585.2429999999999</c:v>
                </c:pt>
                <c:pt idx="1">
                  <c:v>775.98130000000003</c:v>
                </c:pt>
                <c:pt idx="2">
                  <c:v>299.07010000000002</c:v>
                </c:pt>
                <c:pt idx="3">
                  <c:v>159.58199999999999</c:v>
                </c:pt>
                <c:pt idx="4">
                  <c:v>98.575869999999995</c:v>
                </c:pt>
                <c:pt idx="5">
                  <c:v>67.968950000000007</c:v>
                </c:pt>
                <c:pt idx="6">
                  <c:v>50.799010000000003</c:v>
                </c:pt>
                <c:pt idx="7">
                  <c:v>40.088030000000003</c:v>
                </c:pt>
                <c:pt idx="8">
                  <c:v>31.704989999999999</c:v>
                </c:pt>
                <c:pt idx="9">
                  <c:v>27.985019999999999</c:v>
                </c:pt>
                <c:pt idx="10">
                  <c:v>25.30302</c:v>
                </c:pt>
                <c:pt idx="11">
                  <c:v>23.338010000000001</c:v>
                </c:pt>
                <c:pt idx="12">
                  <c:v>21.582000000000001</c:v>
                </c:pt>
                <c:pt idx="13">
                  <c:v>20.604990000000001</c:v>
                </c:pt>
                <c:pt idx="14">
                  <c:v>17.99699</c:v>
                </c:pt>
                <c:pt idx="15">
                  <c:v>16.064</c:v>
                </c:pt>
                <c:pt idx="16">
                  <c:v>15.125999999999999</c:v>
                </c:pt>
                <c:pt idx="17">
                  <c:v>13.709</c:v>
                </c:pt>
                <c:pt idx="18">
                  <c:v>12.973000000000001</c:v>
                </c:pt>
                <c:pt idx="19">
                  <c:v>12.731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AA_pho_A!$B$6:$U$6</c:f>
              <c:numCache>
                <c:formatCode>General</c:formatCode>
                <c:ptCount val="20"/>
                <c:pt idx="0">
                  <c:v>1632.999</c:v>
                </c:pt>
                <c:pt idx="1">
                  <c:v>812.79359999999997</c:v>
                </c:pt>
                <c:pt idx="2">
                  <c:v>301.0428</c:v>
                </c:pt>
                <c:pt idx="3">
                  <c:v>153.67590000000001</c:v>
                </c:pt>
                <c:pt idx="4">
                  <c:v>93.059899999999999</c:v>
                </c:pt>
                <c:pt idx="5">
                  <c:v>63.264969999999998</c:v>
                </c:pt>
                <c:pt idx="6">
                  <c:v>49.96801</c:v>
                </c:pt>
                <c:pt idx="7">
                  <c:v>39.243020000000001</c:v>
                </c:pt>
                <c:pt idx="8">
                  <c:v>32.575989999999997</c:v>
                </c:pt>
                <c:pt idx="9">
                  <c:v>27.434010000000001</c:v>
                </c:pt>
                <c:pt idx="10">
                  <c:v>25.685020000000002</c:v>
                </c:pt>
                <c:pt idx="11">
                  <c:v>22.777010000000001</c:v>
                </c:pt>
                <c:pt idx="12">
                  <c:v>20.384</c:v>
                </c:pt>
                <c:pt idx="13">
                  <c:v>19.370989999999999</c:v>
                </c:pt>
                <c:pt idx="14">
                  <c:v>18.158999999999999</c:v>
                </c:pt>
                <c:pt idx="15">
                  <c:v>15.023</c:v>
                </c:pt>
                <c:pt idx="16">
                  <c:v>13.574</c:v>
                </c:pt>
                <c:pt idx="17">
                  <c:v>12.87</c:v>
                </c:pt>
                <c:pt idx="18">
                  <c:v>11.904999999999999</c:v>
                </c:pt>
                <c:pt idx="19">
                  <c:v>10.975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AA_pho_A!$B$7:$U$7</c:f>
              <c:numCache>
                <c:formatCode>General</c:formatCode>
                <c:ptCount val="20"/>
                <c:pt idx="0">
                  <c:v>1626.01</c:v>
                </c:pt>
                <c:pt idx="1">
                  <c:v>811.52679999999998</c:v>
                </c:pt>
                <c:pt idx="2">
                  <c:v>312.1875</c:v>
                </c:pt>
                <c:pt idx="3">
                  <c:v>174.4228</c:v>
                </c:pt>
                <c:pt idx="4">
                  <c:v>108.8399</c:v>
                </c:pt>
                <c:pt idx="5">
                  <c:v>75.687939999999998</c:v>
                </c:pt>
                <c:pt idx="6">
                  <c:v>56.420029999999997</c:v>
                </c:pt>
                <c:pt idx="7">
                  <c:v>45.701030000000003</c:v>
                </c:pt>
                <c:pt idx="8">
                  <c:v>37.023980000000002</c:v>
                </c:pt>
                <c:pt idx="9">
                  <c:v>31.829029999999999</c:v>
                </c:pt>
                <c:pt idx="10">
                  <c:v>27.23002</c:v>
                </c:pt>
                <c:pt idx="11">
                  <c:v>24.51801</c:v>
                </c:pt>
                <c:pt idx="12">
                  <c:v>21.579000000000001</c:v>
                </c:pt>
                <c:pt idx="13">
                  <c:v>19.42099</c:v>
                </c:pt>
                <c:pt idx="14">
                  <c:v>17.956990000000001</c:v>
                </c:pt>
                <c:pt idx="15">
                  <c:v>16.478999999999999</c:v>
                </c:pt>
                <c:pt idx="16">
                  <c:v>15.271000000000001</c:v>
                </c:pt>
                <c:pt idx="17">
                  <c:v>14.792</c:v>
                </c:pt>
                <c:pt idx="18">
                  <c:v>13.798</c:v>
                </c:pt>
                <c:pt idx="19">
                  <c:v>12.872999999999999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AA_pho_A!$B$8:$U$8</c:f>
              <c:numCache>
                <c:formatCode>General</c:formatCode>
                <c:ptCount val="20"/>
                <c:pt idx="0">
                  <c:v>1682.1559999999999</c:v>
                </c:pt>
                <c:pt idx="1">
                  <c:v>851.55200000000002</c:v>
                </c:pt>
                <c:pt idx="2">
                  <c:v>327.09230000000002</c:v>
                </c:pt>
                <c:pt idx="3">
                  <c:v>169.45400000000001</c:v>
                </c:pt>
                <c:pt idx="4">
                  <c:v>107.7379</c:v>
                </c:pt>
                <c:pt idx="5">
                  <c:v>74.861930000000001</c:v>
                </c:pt>
                <c:pt idx="6">
                  <c:v>55.921030000000002</c:v>
                </c:pt>
                <c:pt idx="7">
                  <c:v>45.672029999999999</c:v>
                </c:pt>
                <c:pt idx="8">
                  <c:v>37.07199</c:v>
                </c:pt>
                <c:pt idx="9">
                  <c:v>31.22702</c:v>
                </c:pt>
                <c:pt idx="10">
                  <c:v>25.449020000000001</c:v>
                </c:pt>
                <c:pt idx="11">
                  <c:v>23.238009999999999</c:v>
                </c:pt>
                <c:pt idx="12">
                  <c:v>19.395</c:v>
                </c:pt>
                <c:pt idx="13">
                  <c:v>17.695989999999998</c:v>
                </c:pt>
                <c:pt idx="14">
                  <c:v>15.536</c:v>
                </c:pt>
                <c:pt idx="15">
                  <c:v>15.034000000000001</c:v>
                </c:pt>
                <c:pt idx="16">
                  <c:v>14.317</c:v>
                </c:pt>
                <c:pt idx="17">
                  <c:v>12.872</c:v>
                </c:pt>
                <c:pt idx="18">
                  <c:v>12.132999999999999</c:v>
                </c:pt>
                <c:pt idx="19">
                  <c:v>10.728999999999999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AA_pho_A!$B$9:$U$9</c:f>
              <c:numCache>
                <c:formatCode>General</c:formatCode>
                <c:ptCount val="20"/>
                <c:pt idx="0">
                  <c:v>1669.8209999999999</c:v>
                </c:pt>
                <c:pt idx="1">
                  <c:v>828.41300000000001</c:v>
                </c:pt>
                <c:pt idx="2">
                  <c:v>316.9991</c:v>
                </c:pt>
                <c:pt idx="3">
                  <c:v>175.4419</c:v>
                </c:pt>
                <c:pt idx="4">
                  <c:v>107.754</c:v>
                </c:pt>
                <c:pt idx="5">
                  <c:v>74.946910000000003</c:v>
                </c:pt>
                <c:pt idx="6">
                  <c:v>57.092059999999996</c:v>
                </c:pt>
                <c:pt idx="7">
                  <c:v>45.16601</c:v>
                </c:pt>
                <c:pt idx="8">
                  <c:v>40.64499</c:v>
                </c:pt>
                <c:pt idx="9">
                  <c:v>32.304029999999997</c:v>
                </c:pt>
                <c:pt idx="10">
                  <c:v>28.639019999999999</c:v>
                </c:pt>
                <c:pt idx="11">
                  <c:v>24.511009999999999</c:v>
                </c:pt>
                <c:pt idx="12">
                  <c:v>22.053989999999999</c:v>
                </c:pt>
                <c:pt idx="13">
                  <c:v>19.882989999999999</c:v>
                </c:pt>
                <c:pt idx="14">
                  <c:v>18.168990000000001</c:v>
                </c:pt>
                <c:pt idx="15">
                  <c:v>17.187000000000001</c:v>
                </c:pt>
                <c:pt idx="16">
                  <c:v>16.233000000000001</c:v>
                </c:pt>
                <c:pt idx="17">
                  <c:v>14.077</c:v>
                </c:pt>
                <c:pt idx="18">
                  <c:v>13.567</c:v>
                </c:pt>
                <c:pt idx="19">
                  <c:v>12.625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AA_pho_A!$B$10:$U$10</c:f>
              <c:numCache>
                <c:formatCode>General</c:formatCode>
                <c:ptCount val="20"/>
                <c:pt idx="0">
                  <c:v>1628.1990000000001</c:v>
                </c:pt>
                <c:pt idx="1">
                  <c:v>821.31700000000001</c:v>
                </c:pt>
                <c:pt idx="2">
                  <c:v>315.25740000000002</c:v>
                </c:pt>
                <c:pt idx="3">
                  <c:v>172.69980000000001</c:v>
                </c:pt>
                <c:pt idx="4">
                  <c:v>108.07689999999999</c:v>
                </c:pt>
                <c:pt idx="5">
                  <c:v>75.364919999999998</c:v>
                </c:pt>
                <c:pt idx="6">
                  <c:v>56.184040000000003</c:v>
                </c:pt>
                <c:pt idx="7">
                  <c:v>45.459020000000002</c:v>
                </c:pt>
                <c:pt idx="8">
                  <c:v>39.417000000000002</c:v>
                </c:pt>
                <c:pt idx="9">
                  <c:v>31.02403</c:v>
                </c:pt>
                <c:pt idx="10">
                  <c:v>26.917020000000001</c:v>
                </c:pt>
                <c:pt idx="11">
                  <c:v>23.276</c:v>
                </c:pt>
                <c:pt idx="12">
                  <c:v>20.812989999999999</c:v>
                </c:pt>
                <c:pt idx="13">
                  <c:v>18.177990000000001</c:v>
                </c:pt>
                <c:pt idx="14">
                  <c:v>16.26099</c:v>
                </c:pt>
                <c:pt idx="15">
                  <c:v>15.262</c:v>
                </c:pt>
                <c:pt idx="16">
                  <c:v>14.064</c:v>
                </c:pt>
                <c:pt idx="17">
                  <c:v>13.343</c:v>
                </c:pt>
                <c:pt idx="18">
                  <c:v>13.074999999999999</c:v>
                </c:pt>
                <c:pt idx="19">
                  <c:v>12.13</c:v>
                </c:pt>
              </c:numCache>
            </c:numRef>
          </c:yVal>
          <c:smooth val="1"/>
        </c:ser>
        <c:axId val="64564608"/>
        <c:axId val="64591360"/>
      </c:scatterChart>
      <c:valAx>
        <c:axId val="6456460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591360"/>
        <c:crosses val="autoZero"/>
        <c:crossBetween val="midCat"/>
      </c:valAx>
      <c:valAx>
        <c:axId val="64591360"/>
        <c:scaling>
          <c:orientation val="minMax"/>
        </c:scaling>
        <c:axPos val="l"/>
        <c:numFmt formatCode="General" sourceLinked="1"/>
        <c:tickLblPos val="nextTo"/>
        <c:crossAx val="64564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534626349"/>
          <c:y val="7.9861579802524729E-2"/>
          <c:w val="0.15000011362216095"/>
          <c:h val="0.83680852393450866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136196983159209"/>
          <c:y val="4.9895178197064946E-2"/>
          <c:w val="0.73632934015543772"/>
          <c:h val="0.84318658280922376"/>
        </c:manualLayout>
      </c:layout>
      <c:scatterChart>
        <c:scatterStyle val="smoothMarker"/>
        <c:ser>
          <c:idx val="0"/>
          <c:order val="0"/>
          <c:tx>
            <c:strRef>
              <c:f>AA_R_phophi_A!$A$3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AA_R_phophi_A!$B$3:$U$3</c:f>
              <c:numCache>
                <c:formatCode>General</c:formatCode>
                <c:ptCount val="20"/>
                <c:pt idx="0">
                  <c:v>0.23752199249678357</c:v>
                </c:pt>
                <c:pt idx="1">
                  <c:v>0.17185432004600826</c:v>
                </c:pt>
                <c:pt idx="2">
                  <c:v>0.10269541760612391</c:v>
                </c:pt>
                <c:pt idx="3">
                  <c:v>7.8012726328918203E-2</c:v>
                </c:pt>
                <c:pt idx="4">
                  <c:v>6.5448401973834586E-2</c:v>
                </c:pt>
                <c:pt idx="5">
                  <c:v>5.2510699304502716E-2</c:v>
                </c:pt>
                <c:pt idx="6">
                  <c:v>5.2477674309470881E-2</c:v>
                </c:pt>
                <c:pt idx="7">
                  <c:v>5.1061145714038733E-2</c:v>
                </c:pt>
                <c:pt idx="8">
                  <c:v>4.7560231971559987E-2</c:v>
                </c:pt>
                <c:pt idx="9">
                  <c:v>4.6152758255846284E-2</c:v>
                </c:pt>
                <c:pt idx="10">
                  <c:v>4.6636073904519917E-2</c:v>
                </c:pt>
                <c:pt idx="11">
                  <c:v>4.46414407400028E-2</c:v>
                </c:pt>
                <c:pt idx="12">
                  <c:v>4.6414956927412529E-2</c:v>
                </c:pt>
                <c:pt idx="13">
                  <c:v>4.4568798837621701E-2</c:v>
                </c:pt>
                <c:pt idx="14">
                  <c:v>4.4887922178984276E-2</c:v>
                </c:pt>
                <c:pt idx="15">
                  <c:v>4.4583458532501147E-2</c:v>
                </c:pt>
                <c:pt idx="16">
                  <c:v>3.8680038894682973E-2</c:v>
                </c:pt>
                <c:pt idx="17">
                  <c:v>3.8838409718663688E-2</c:v>
                </c:pt>
                <c:pt idx="18">
                  <c:v>3.9736810215449683E-2</c:v>
                </c:pt>
                <c:pt idx="19">
                  <c:v>3.8816668207697747E-2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AA_R_phophi_A!$A$4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AA_R_phophi_A!$B$4:$U$4</c:f>
              <c:numCache>
                <c:formatCode>General</c:formatCode>
                <c:ptCount val="20"/>
                <c:pt idx="0">
                  <c:v>0.2395062445591796</c:v>
                </c:pt>
                <c:pt idx="1">
                  <c:v>0.17405626106982308</c:v>
                </c:pt>
                <c:pt idx="2">
                  <c:v>0.10518558727746824</c:v>
                </c:pt>
                <c:pt idx="3">
                  <c:v>7.8830760820921303E-2</c:v>
                </c:pt>
                <c:pt idx="4">
                  <c:v>6.5465394951230493E-2</c:v>
                </c:pt>
                <c:pt idx="5">
                  <c:v>5.6129043481507691E-2</c:v>
                </c:pt>
                <c:pt idx="6">
                  <c:v>5.2101684769111589E-2</c:v>
                </c:pt>
                <c:pt idx="7">
                  <c:v>5.1623838177763552E-2</c:v>
                </c:pt>
                <c:pt idx="8">
                  <c:v>4.8906791143135411E-2</c:v>
                </c:pt>
                <c:pt idx="9">
                  <c:v>4.9564802628616567E-2</c:v>
                </c:pt>
                <c:pt idx="10">
                  <c:v>4.9046002313039114E-2</c:v>
                </c:pt>
                <c:pt idx="11">
                  <c:v>4.8422540578252356E-2</c:v>
                </c:pt>
                <c:pt idx="12">
                  <c:v>4.6265922156565296E-2</c:v>
                </c:pt>
                <c:pt idx="13">
                  <c:v>4.4771791035841821E-2</c:v>
                </c:pt>
                <c:pt idx="14">
                  <c:v>4.3695265260451609E-2</c:v>
                </c:pt>
                <c:pt idx="15">
                  <c:v>4.1492941197899008E-2</c:v>
                </c:pt>
                <c:pt idx="16">
                  <c:v>4.1370421969631047E-2</c:v>
                </c:pt>
                <c:pt idx="17">
                  <c:v>3.9258528527001131E-2</c:v>
                </c:pt>
                <c:pt idx="18">
                  <c:v>3.9123967056057668E-2</c:v>
                </c:pt>
                <c:pt idx="19">
                  <c:v>3.9598388375704639E-2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AA_R_phophi_A!$A$5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AA_R_phophi_A!$B$5:$U$5</c:f>
              <c:numCache>
                <c:formatCode>General</c:formatCode>
                <c:ptCount val="20"/>
                <c:pt idx="0">
                  <c:v>0.23205090577469334</c:v>
                </c:pt>
                <c:pt idx="1">
                  <c:v>0.16549900324970243</c:v>
                </c:pt>
                <c:pt idx="2">
                  <c:v>0.10180492892685994</c:v>
                </c:pt>
                <c:pt idx="3">
                  <c:v>7.9620691341221128E-2</c:v>
                </c:pt>
                <c:pt idx="4">
                  <c:v>6.6024347916944351E-2</c:v>
                </c:pt>
                <c:pt idx="5">
                  <c:v>5.7183510837439666E-2</c:v>
                </c:pt>
                <c:pt idx="6">
                  <c:v>5.1939279753786656E-2</c:v>
                </c:pt>
                <c:pt idx="7">
                  <c:v>4.8701410089911912E-2</c:v>
                </c:pt>
                <c:pt idx="8">
                  <c:v>4.4531444223804249E-2</c:v>
                </c:pt>
                <c:pt idx="9">
                  <c:v>4.5127535791584947E-2</c:v>
                </c:pt>
                <c:pt idx="10">
                  <c:v>4.61702010025219E-2</c:v>
                </c:pt>
                <c:pt idx="11">
                  <c:v>4.6699509853456292E-2</c:v>
                </c:pt>
                <c:pt idx="12">
                  <c:v>4.7417230765174637E-2</c:v>
                </c:pt>
                <c:pt idx="13">
                  <c:v>4.928220864765058E-2</c:v>
                </c:pt>
                <c:pt idx="14">
                  <c:v>4.6078581730319937E-2</c:v>
                </c:pt>
                <c:pt idx="15">
                  <c:v>4.3782235706724439E-2</c:v>
                </c:pt>
                <c:pt idx="16">
                  <c:v>4.4349447611005552E-2</c:v>
                </c:pt>
                <c:pt idx="17">
                  <c:v>4.2660398149194076E-2</c:v>
                </c:pt>
                <c:pt idx="18">
                  <c:v>4.273961843697463E-2</c:v>
                </c:pt>
                <c:pt idx="19">
                  <c:v>4.4201530648558772E-2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AA_R_phophi_A!$A$6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AA_R_phophi_A!$B$6:$U$6</c:f>
              <c:numCache>
                <c:formatCode>General</c:formatCode>
                <c:ptCount val="20"/>
                <c:pt idx="0">
                  <c:v>0.23456081154355904</c:v>
                </c:pt>
                <c:pt idx="1">
                  <c:v>0.17015020982147905</c:v>
                </c:pt>
                <c:pt idx="2">
                  <c:v>0.10205376892684193</c:v>
                </c:pt>
                <c:pt idx="3">
                  <c:v>7.6776145203111504E-2</c:v>
                </c:pt>
                <c:pt idx="4">
                  <c:v>6.2230774374749227E-2</c:v>
                </c:pt>
                <c:pt idx="5">
                  <c:v>5.3606431249602814E-2</c:v>
                </c:pt>
                <c:pt idx="6">
                  <c:v>5.2042637709657801E-2</c:v>
                </c:pt>
                <c:pt idx="7">
                  <c:v>4.8014694987610011E-2</c:v>
                </c:pt>
                <c:pt idx="8">
                  <c:v>4.6080914353354825E-2</c:v>
                </c:pt>
                <c:pt idx="9">
                  <c:v>4.4119254781447022E-2</c:v>
                </c:pt>
                <c:pt idx="10">
                  <c:v>4.6124494916073601E-2</c:v>
                </c:pt>
                <c:pt idx="11">
                  <c:v>4.5480487148378504E-2</c:v>
                </c:pt>
                <c:pt idx="12">
                  <c:v>4.4672139500502188E-2</c:v>
                </c:pt>
                <c:pt idx="13">
                  <c:v>4.6489602413015842E-2</c:v>
                </c:pt>
                <c:pt idx="14">
                  <c:v>4.690262880982158E-2</c:v>
                </c:pt>
                <c:pt idx="15">
                  <c:v>4.1600323431922839E-2</c:v>
                </c:pt>
                <c:pt idx="16">
                  <c:v>4.03622792585639E-2</c:v>
                </c:pt>
                <c:pt idx="17">
                  <c:v>4.0330667602597202E-2</c:v>
                </c:pt>
                <c:pt idx="18">
                  <c:v>3.9906704460433193E-2</c:v>
                </c:pt>
                <c:pt idx="19">
                  <c:v>3.823628806644578E-2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AA_R_phophi_A!$A$7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AA_R_phophi_A!$B$7:$U$7</c:f>
              <c:numCache>
                <c:formatCode>General</c:formatCode>
                <c:ptCount val="20"/>
                <c:pt idx="0">
                  <c:v>0.23945654008339398</c:v>
                </c:pt>
                <c:pt idx="1">
                  <c:v>0.17351565095833493</c:v>
                </c:pt>
                <c:pt idx="2">
                  <c:v>0.10779396785387498</c:v>
                </c:pt>
                <c:pt idx="3">
                  <c:v>8.7060784842222946E-2</c:v>
                </c:pt>
                <c:pt idx="4">
                  <c:v>7.2579917003815053E-2</c:v>
                </c:pt>
                <c:pt idx="5">
                  <c:v>6.4173484242772125E-2</c:v>
                </c:pt>
                <c:pt idx="6">
                  <c:v>5.8687656490365586E-2</c:v>
                </c:pt>
                <c:pt idx="7">
                  <c:v>5.6003377773115703E-2</c:v>
                </c:pt>
                <c:pt idx="8">
                  <c:v>5.2267483054775153E-2</c:v>
                </c:pt>
                <c:pt idx="9">
                  <c:v>5.1031622131949061E-2</c:v>
                </c:pt>
                <c:pt idx="10">
                  <c:v>4.9021920685723093E-2</c:v>
                </c:pt>
                <c:pt idx="11">
                  <c:v>4.8775248014017857E-2</c:v>
                </c:pt>
                <c:pt idx="12">
                  <c:v>4.6857869240509047E-2</c:v>
                </c:pt>
                <c:pt idx="13">
                  <c:v>4.570961142691448E-2</c:v>
                </c:pt>
                <c:pt idx="14">
                  <c:v>4.5484973637850049E-2</c:v>
                </c:pt>
                <c:pt idx="15">
                  <c:v>4.459594514907126E-2</c:v>
                </c:pt>
                <c:pt idx="16">
                  <c:v>4.4381230439171034E-2</c:v>
                </c:pt>
                <c:pt idx="17">
                  <c:v>4.561843167211968E-2</c:v>
                </c:pt>
                <c:pt idx="18">
                  <c:v>4.521672107660233E-2</c:v>
                </c:pt>
                <c:pt idx="19">
                  <c:v>4.4066465635311233E-2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AA_R_phophi_A!$A$8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AA_R_phophi_A!$B$8:$U$8</c:f>
              <c:numCache>
                <c:formatCode>General</c:formatCode>
                <c:ptCount val="20"/>
                <c:pt idx="0">
                  <c:v>0.24377016315435421</c:v>
                </c:pt>
                <c:pt idx="1">
                  <c:v>0.18005448033402879</c:v>
                </c:pt>
                <c:pt idx="2">
                  <c:v>0.11167401618031049</c:v>
                </c:pt>
                <c:pt idx="3">
                  <c:v>8.5418074935263752E-2</c:v>
                </c:pt>
                <c:pt idx="4">
                  <c:v>7.2492146082528533E-2</c:v>
                </c:pt>
                <c:pt idx="5">
                  <c:v>6.3936739617807201E-2</c:v>
                </c:pt>
                <c:pt idx="6">
                  <c:v>5.8533693098175694E-2</c:v>
                </c:pt>
                <c:pt idx="7">
                  <c:v>5.6528014779061032E-2</c:v>
                </c:pt>
                <c:pt idx="8">
                  <c:v>5.2776917666021619E-2</c:v>
                </c:pt>
                <c:pt idx="9">
                  <c:v>5.0642883809305102E-2</c:v>
                </c:pt>
                <c:pt idx="10">
                  <c:v>4.637937199365353E-2</c:v>
                </c:pt>
                <c:pt idx="11">
                  <c:v>4.6875946827957399E-2</c:v>
                </c:pt>
                <c:pt idx="12">
                  <c:v>4.2739704292811598E-2</c:v>
                </c:pt>
                <c:pt idx="13">
                  <c:v>4.2075996006392245E-2</c:v>
                </c:pt>
                <c:pt idx="14">
                  <c:v>3.9925771370991264E-2</c:v>
                </c:pt>
                <c:pt idx="15">
                  <c:v>4.1472439889237635E-2</c:v>
                </c:pt>
                <c:pt idx="16">
                  <c:v>4.2209704723701405E-2</c:v>
                </c:pt>
                <c:pt idx="17">
                  <c:v>4.0260618065544859E-2</c:v>
                </c:pt>
                <c:pt idx="18">
                  <c:v>4.0593339252986201E-2</c:v>
                </c:pt>
                <c:pt idx="19">
                  <c:v>3.7478892142252807E-2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AA_R_phophi_A!$A$9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AA_R_phophi_A!$B$9:$U$9</c:f>
              <c:numCache>
                <c:formatCode>General</c:formatCode>
                <c:ptCount val="20"/>
                <c:pt idx="0">
                  <c:v>0.24877131785313258</c:v>
                </c:pt>
                <c:pt idx="1">
                  <c:v>0.17920908682245471</c:v>
                </c:pt>
                <c:pt idx="2">
                  <c:v>0.11069119339063452</c:v>
                </c:pt>
                <c:pt idx="3">
                  <c:v>8.8851631435836742E-2</c:v>
                </c:pt>
                <c:pt idx="4">
                  <c:v>7.3211049939972572E-2</c:v>
                </c:pt>
                <c:pt idx="5">
                  <c:v>6.4421472188030779E-2</c:v>
                </c:pt>
                <c:pt idx="6">
                  <c:v>5.9813941247626227E-2</c:v>
                </c:pt>
                <c:pt idx="7">
                  <c:v>5.6166918903323926E-2</c:v>
                </c:pt>
                <c:pt idx="8">
                  <c:v>5.7981589681685347E-2</c:v>
                </c:pt>
                <c:pt idx="9">
                  <c:v>5.2492301412516734E-2</c:v>
                </c:pt>
                <c:pt idx="10">
                  <c:v>5.170918797546907E-2</c:v>
                </c:pt>
                <c:pt idx="11">
                  <c:v>4.9440374561464197E-2</c:v>
                </c:pt>
                <c:pt idx="12">
                  <c:v>4.8956287613769474E-2</c:v>
                </c:pt>
                <c:pt idx="13">
                  <c:v>4.7811992464731931E-2</c:v>
                </c:pt>
                <c:pt idx="14">
                  <c:v>4.7220256406991068E-2</c:v>
                </c:pt>
                <c:pt idx="15">
                  <c:v>4.7044248746841613E-2</c:v>
                </c:pt>
                <c:pt idx="16">
                  <c:v>4.7787716911134807E-2</c:v>
                </c:pt>
                <c:pt idx="17">
                  <c:v>4.4219752410851347E-2</c:v>
                </c:pt>
                <c:pt idx="18">
                  <c:v>4.5109297030440379E-2</c:v>
                </c:pt>
                <c:pt idx="19">
                  <c:v>4.3657642473474312E-2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AA_R_phophi_A!$A$10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AA_R_phophi_A!$B$10:$U$10</c:f>
              <c:numCache>
                <c:formatCode>General</c:formatCode>
                <c:ptCount val="20"/>
                <c:pt idx="0">
                  <c:v>0.23963044318119103</c:v>
                </c:pt>
                <c:pt idx="1">
                  <c:v>0.17621126377098029</c:v>
                </c:pt>
                <c:pt idx="2">
                  <c:v>0.10859134582595344</c:v>
                </c:pt>
                <c:pt idx="3">
                  <c:v>8.697796790625105E-2</c:v>
                </c:pt>
                <c:pt idx="4">
                  <c:v>7.2277978592852912E-2</c:v>
                </c:pt>
                <c:pt idx="5">
                  <c:v>6.3986952132631808E-2</c:v>
                </c:pt>
                <c:pt idx="6">
                  <c:v>5.8404078303239244E-2</c:v>
                </c:pt>
                <c:pt idx="7">
                  <c:v>5.5617643823830928E-2</c:v>
                </c:pt>
                <c:pt idx="8">
                  <c:v>5.5244630968051545E-2</c:v>
                </c:pt>
                <c:pt idx="9">
                  <c:v>4.9512369701791362E-2</c:v>
                </c:pt>
                <c:pt idx="10">
                  <c:v>4.8123890185286768E-2</c:v>
                </c:pt>
                <c:pt idx="11">
                  <c:v>4.6311080497038311E-2</c:v>
                </c:pt>
                <c:pt idx="12">
                  <c:v>4.5253894189373707E-2</c:v>
                </c:pt>
                <c:pt idx="13">
                  <c:v>4.2985037992050439E-2</c:v>
                </c:pt>
                <c:pt idx="14">
                  <c:v>4.1570443935596835E-2</c:v>
                </c:pt>
                <c:pt idx="15">
                  <c:v>4.2094753187721858E-2</c:v>
                </c:pt>
                <c:pt idx="16">
                  <c:v>4.1265934654054502E-2</c:v>
                </c:pt>
                <c:pt idx="17">
                  <c:v>4.1481031047508728E-2</c:v>
                </c:pt>
                <c:pt idx="18">
                  <c:v>4.2964261292371547E-2</c:v>
                </c:pt>
                <c:pt idx="19">
                  <c:v>4.2061126988541211E-2</c:v>
                </c:pt>
              </c:numCache>
            </c:numRef>
          </c:yVal>
          <c:smooth val="1"/>
        </c:ser>
        <c:axId val="66238720"/>
        <c:axId val="66253568"/>
      </c:scatterChart>
      <c:valAx>
        <c:axId val="66238720"/>
        <c:scaling>
          <c:orientation val="minMax"/>
          <c:max val="21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Probe radius (Å)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6253568"/>
        <c:crosses val="autoZero"/>
        <c:crossBetween val="midCat"/>
      </c:valAx>
      <c:valAx>
        <c:axId val="662535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Ratio [hydrophobic</a:t>
                </a:r>
                <a:r>
                  <a:rPr lang="en-GB" sz="1200" baseline="0"/>
                  <a:t> area</a:t>
                </a:r>
                <a:r>
                  <a:rPr lang="en-GB" sz="1200"/>
                  <a:t>]/[hydrophilic area]</a:t>
                </a:r>
              </a:p>
            </c:rich>
          </c:tx>
        </c:title>
        <c:numFmt formatCode="General" sourceLinked="1"/>
        <c:tickLblPos val="nextTo"/>
        <c:crossAx val="66238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259714486908645"/>
          <c:y val="5.4787926509186409E-2"/>
          <c:w val="0.19409887966338837"/>
          <c:h val="0.64393634757919493"/>
        </c:manualLayout>
      </c:layout>
      <c:spPr>
        <a:ln>
          <a:solidFill>
            <a:schemeClr val="accent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Chg_T_pos!$A$3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Chg_T_pos!$B$3:$U$3</c:f>
              <c:numCache>
                <c:formatCode>General</c:formatCode>
                <c:ptCount val="20"/>
                <c:pt idx="0">
                  <c:v>18.274100000000001</c:v>
                </c:pt>
                <c:pt idx="1">
                  <c:v>14.29973</c:v>
                </c:pt>
                <c:pt idx="2">
                  <c:v>10.0176</c:v>
                </c:pt>
                <c:pt idx="3">
                  <c:v>7.2162369999999996</c:v>
                </c:pt>
                <c:pt idx="4">
                  <c:v>5.6652899999999997</c:v>
                </c:pt>
                <c:pt idx="5">
                  <c:v>4.6527250000000002</c:v>
                </c:pt>
                <c:pt idx="6">
                  <c:v>3.9013390000000001</c:v>
                </c:pt>
                <c:pt idx="7">
                  <c:v>3.4391449999999999</c:v>
                </c:pt>
                <c:pt idx="8">
                  <c:v>3.0543619999999998</c:v>
                </c:pt>
                <c:pt idx="9">
                  <c:v>2.7177470000000001</c:v>
                </c:pt>
                <c:pt idx="10">
                  <c:v>2.4193989999999999</c:v>
                </c:pt>
                <c:pt idx="11">
                  <c:v>2.224221</c:v>
                </c:pt>
                <c:pt idx="12">
                  <c:v>2.045185</c:v>
                </c:pt>
                <c:pt idx="13">
                  <c:v>1.887864</c:v>
                </c:pt>
                <c:pt idx="14">
                  <c:v>1.761261</c:v>
                </c:pt>
                <c:pt idx="15">
                  <c:v>1.6462600000000001</c:v>
                </c:pt>
                <c:pt idx="16">
                  <c:v>1.5617209999999999</c:v>
                </c:pt>
                <c:pt idx="17">
                  <c:v>1.48146</c:v>
                </c:pt>
                <c:pt idx="18">
                  <c:v>1.4123060000000001</c:v>
                </c:pt>
                <c:pt idx="19">
                  <c:v>1.3508420000000001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Chg_T_pos!$A$4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Chg_T_pos!$B$4:$U$4</c:f>
              <c:numCache>
                <c:formatCode>General</c:formatCode>
                <c:ptCount val="20"/>
                <c:pt idx="0">
                  <c:v>18.243500000000001</c:v>
                </c:pt>
                <c:pt idx="1">
                  <c:v>14.261710000000001</c:v>
                </c:pt>
                <c:pt idx="2">
                  <c:v>10.010809999999999</c:v>
                </c:pt>
                <c:pt idx="3">
                  <c:v>7.1754819999999997</c:v>
                </c:pt>
                <c:pt idx="4">
                  <c:v>5.5950030000000002</c:v>
                </c:pt>
                <c:pt idx="5">
                  <c:v>4.6474489999999999</c:v>
                </c:pt>
                <c:pt idx="6">
                  <c:v>3.8292480000000002</c:v>
                </c:pt>
                <c:pt idx="7">
                  <c:v>3.3509669999999998</c:v>
                </c:pt>
                <c:pt idx="8">
                  <c:v>2.9507829999999999</c:v>
                </c:pt>
                <c:pt idx="9">
                  <c:v>2.6708349999999998</c:v>
                </c:pt>
                <c:pt idx="10">
                  <c:v>2.430415</c:v>
                </c:pt>
                <c:pt idx="11">
                  <c:v>2.2126749999999999</c:v>
                </c:pt>
                <c:pt idx="12">
                  <c:v>2.0168200000000001</c:v>
                </c:pt>
                <c:pt idx="13">
                  <c:v>1.906102</c:v>
                </c:pt>
                <c:pt idx="14">
                  <c:v>1.8053330000000001</c:v>
                </c:pt>
                <c:pt idx="15">
                  <c:v>1.68943</c:v>
                </c:pt>
                <c:pt idx="16">
                  <c:v>1.599356</c:v>
                </c:pt>
                <c:pt idx="17">
                  <c:v>1.5169710000000001</c:v>
                </c:pt>
                <c:pt idx="18">
                  <c:v>1.42418</c:v>
                </c:pt>
                <c:pt idx="19">
                  <c:v>1.3735379999999999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Chg_T_pos!$A$5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Chg_T_pos!$B$5:$U$5</c:f>
              <c:numCache>
                <c:formatCode>General</c:formatCode>
                <c:ptCount val="20"/>
                <c:pt idx="0">
                  <c:v>16.53237</c:v>
                </c:pt>
                <c:pt idx="1">
                  <c:v>12.655799999999999</c:v>
                </c:pt>
                <c:pt idx="2">
                  <c:v>8.7920010000000008</c:v>
                </c:pt>
                <c:pt idx="3">
                  <c:v>6.2241869999999997</c:v>
                </c:pt>
                <c:pt idx="4">
                  <c:v>4.8235099999999997</c:v>
                </c:pt>
                <c:pt idx="5">
                  <c:v>4.0114939999999999</c:v>
                </c:pt>
                <c:pt idx="6">
                  <c:v>3.4190640000000001</c:v>
                </c:pt>
                <c:pt idx="7">
                  <c:v>2.935333</c:v>
                </c:pt>
                <c:pt idx="8">
                  <c:v>2.6078359999999998</c:v>
                </c:pt>
                <c:pt idx="9">
                  <c:v>2.286816</c:v>
                </c:pt>
                <c:pt idx="10">
                  <c:v>2.0972789999999999</c:v>
                </c:pt>
                <c:pt idx="11">
                  <c:v>1.894312</c:v>
                </c:pt>
                <c:pt idx="12">
                  <c:v>1.7337389999999999</c:v>
                </c:pt>
                <c:pt idx="13">
                  <c:v>1.638701</c:v>
                </c:pt>
                <c:pt idx="14">
                  <c:v>1.564727</c:v>
                </c:pt>
                <c:pt idx="15">
                  <c:v>1.487986</c:v>
                </c:pt>
                <c:pt idx="16">
                  <c:v>1.420013</c:v>
                </c:pt>
                <c:pt idx="17">
                  <c:v>1.3380259999999999</c:v>
                </c:pt>
                <c:pt idx="18">
                  <c:v>1.2865549999999999</c:v>
                </c:pt>
                <c:pt idx="19">
                  <c:v>1.21591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Chg_T_pos!$A$6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Chg_T_pos!$B$6:$U$6</c:f>
              <c:numCache>
                <c:formatCode>General</c:formatCode>
                <c:ptCount val="20"/>
                <c:pt idx="0">
                  <c:v>18.204149999999998</c:v>
                </c:pt>
                <c:pt idx="1">
                  <c:v>14.33039</c:v>
                </c:pt>
                <c:pt idx="2">
                  <c:v>9.9924909999999993</c:v>
                </c:pt>
                <c:pt idx="3">
                  <c:v>7.1220509999999999</c:v>
                </c:pt>
                <c:pt idx="4">
                  <c:v>5.5671010000000001</c:v>
                </c:pt>
                <c:pt idx="5">
                  <c:v>4.6191560000000003</c:v>
                </c:pt>
                <c:pt idx="6">
                  <c:v>3.8642020000000001</c:v>
                </c:pt>
                <c:pt idx="7">
                  <c:v>3.400461</c:v>
                </c:pt>
                <c:pt idx="8">
                  <c:v>3.0406580000000001</c:v>
                </c:pt>
                <c:pt idx="9">
                  <c:v>2.6787830000000001</c:v>
                </c:pt>
                <c:pt idx="10">
                  <c:v>2.4101460000000001</c:v>
                </c:pt>
                <c:pt idx="11">
                  <c:v>2.2089940000000001</c:v>
                </c:pt>
                <c:pt idx="12">
                  <c:v>2.0286029999999999</c:v>
                </c:pt>
                <c:pt idx="13">
                  <c:v>1.9082220000000001</c:v>
                </c:pt>
                <c:pt idx="14">
                  <c:v>1.813299</c:v>
                </c:pt>
                <c:pt idx="15">
                  <c:v>1.676887</c:v>
                </c:pt>
                <c:pt idx="16">
                  <c:v>1.546133</c:v>
                </c:pt>
                <c:pt idx="17">
                  <c:v>1.459211</c:v>
                </c:pt>
                <c:pt idx="18">
                  <c:v>1.417144</c:v>
                </c:pt>
                <c:pt idx="19">
                  <c:v>1.3660289999999999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Chg_T_pos!$A$7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Chg_T_pos!$B$7:$U$7</c:f>
              <c:numCache>
                <c:formatCode>General</c:formatCode>
                <c:ptCount val="20"/>
                <c:pt idx="0">
                  <c:v>16.936969999999999</c:v>
                </c:pt>
                <c:pt idx="1">
                  <c:v>12.883279999999999</c:v>
                </c:pt>
                <c:pt idx="2">
                  <c:v>8.8712619999999998</c:v>
                </c:pt>
                <c:pt idx="3">
                  <c:v>6.3744959999999997</c:v>
                </c:pt>
                <c:pt idx="4">
                  <c:v>4.9660359999999999</c:v>
                </c:pt>
                <c:pt idx="5">
                  <c:v>4.1683490000000001</c:v>
                </c:pt>
                <c:pt idx="6">
                  <c:v>3.4443000000000001</c:v>
                </c:pt>
                <c:pt idx="7">
                  <c:v>3.1099969999999999</c:v>
                </c:pt>
                <c:pt idx="8">
                  <c:v>2.6971579999999999</c:v>
                </c:pt>
                <c:pt idx="9">
                  <c:v>2.382104</c:v>
                </c:pt>
                <c:pt idx="10">
                  <c:v>2.1553719999999998</c:v>
                </c:pt>
                <c:pt idx="11">
                  <c:v>1.9781500000000001</c:v>
                </c:pt>
                <c:pt idx="12">
                  <c:v>1.8027029999999999</c:v>
                </c:pt>
                <c:pt idx="13">
                  <c:v>1.680213</c:v>
                </c:pt>
                <c:pt idx="14">
                  <c:v>1.562073</c:v>
                </c:pt>
                <c:pt idx="15">
                  <c:v>1.4863919999999999</c:v>
                </c:pt>
                <c:pt idx="16">
                  <c:v>1.3857010000000001</c:v>
                </c:pt>
                <c:pt idx="17">
                  <c:v>1.3199369999999999</c:v>
                </c:pt>
                <c:pt idx="18">
                  <c:v>1.241055</c:v>
                </c:pt>
                <c:pt idx="19">
                  <c:v>1.187133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Chg_T_pos!$A$8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Chg_T_pos!$B$8:$U$8</c:f>
              <c:numCache>
                <c:formatCode>General</c:formatCode>
                <c:ptCount val="20"/>
                <c:pt idx="0">
                  <c:v>18.145849999999999</c:v>
                </c:pt>
                <c:pt idx="1">
                  <c:v>14.162229999999999</c:v>
                </c:pt>
                <c:pt idx="2">
                  <c:v>9.9198590000000006</c:v>
                </c:pt>
                <c:pt idx="3">
                  <c:v>7.1504799999999999</c:v>
                </c:pt>
                <c:pt idx="4">
                  <c:v>5.6495040000000003</c:v>
                </c:pt>
                <c:pt idx="5">
                  <c:v>4.6120380000000001</c:v>
                </c:pt>
                <c:pt idx="6">
                  <c:v>3.817399</c:v>
                </c:pt>
                <c:pt idx="7">
                  <c:v>3.312897</c:v>
                </c:pt>
                <c:pt idx="8">
                  <c:v>2.9762369999999998</c:v>
                </c:pt>
                <c:pt idx="9">
                  <c:v>2.6986789999999998</c:v>
                </c:pt>
                <c:pt idx="10">
                  <c:v>2.4612479999999999</c:v>
                </c:pt>
                <c:pt idx="11">
                  <c:v>2.2591939999999999</c:v>
                </c:pt>
                <c:pt idx="12">
                  <c:v>2.0905740000000002</c:v>
                </c:pt>
                <c:pt idx="13">
                  <c:v>1.96261</c:v>
                </c:pt>
                <c:pt idx="14">
                  <c:v>1.779666</c:v>
                </c:pt>
                <c:pt idx="15">
                  <c:v>1.6333610000000001</c:v>
                </c:pt>
                <c:pt idx="16">
                  <c:v>1.5676810000000001</c:v>
                </c:pt>
                <c:pt idx="17">
                  <c:v>1.451676</c:v>
                </c:pt>
                <c:pt idx="18">
                  <c:v>1.3879509999999999</c:v>
                </c:pt>
                <c:pt idx="19">
                  <c:v>1.344832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Chg_T_pos!$A$9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Chg_T_pos!$B$9:$U$9</c:f>
              <c:numCache>
                <c:formatCode>General</c:formatCode>
                <c:ptCount val="20"/>
                <c:pt idx="0">
                  <c:v>17.076029999999999</c:v>
                </c:pt>
                <c:pt idx="1">
                  <c:v>13.02605</c:v>
                </c:pt>
                <c:pt idx="2">
                  <c:v>8.6801150000000007</c:v>
                </c:pt>
                <c:pt idx="3">
                  <c:v>6.0663629999999999</c:v>
                </c:pt>
                <c:pt idx="4">
                  <c:v>4.6855869999999999</c:v>
                </c:pt>
                <c:pt idx="5">
                  <c:v>3.8339500000000002</c:v>
                </c:pt>
                <c:pt idx="6">
                  <c:v>3.301183</c:v>
                </c:pt>
                <c:pt idx="7">
                  <c:v>2.8337180000000002</c:v>
                </c:pt>
                <c:pt idx="8">
                  <c:v>2.4861369999999998</c:v>
                </c:pt>
                <c:pt idx="9">
                  <c:v>2.2005180000000002</c:v>
                </c:pt>
                <c:pt idx="10">
                  <c:v>2.0276209999999999</c:v>
                </c:pt>
                <c:pt idx="11">
                  <c:v>1.848735</c:v>
                </c:pt>
                <c:pt idx="12">
                  <c:v>1.7291570000000001</c:v>
                </c:pt>
                <c:pt idx="13">
                  <c:v>1.6070549999999999</c:v>
                </c:pt>
                <c:pt idx="14">
                  <c:v>1.475754</c:v>
                </c:pt>
                <c:pt idx="15">
                  <c:v>1.385999</c:v>
                </c:pt>
                <c:pt idx="16">
                  <c:v>1.3041640000000001</c:v>
                </c:pt>
                <c:pt idx="17">
                  <c:v>1.2119439999999999</c:v>
                </c:pt>
                <c:pt idx="18">
                  <c:v>1.156714</c:v>
                </c:pt>
                <c:pt idx="19">
                  <c:v>1.127429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Chg_T_pos!$A$10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Chg_T_pos!$B$10:$U$10</c:f>
              <c:numCache>
                <c:formatCode>General</c:formatCode>
                <c:ptCount val="20"/>
                <c:pt idx="0">
                  <c:v>17.034870000000002</c:v>
                </c:pt>
                <c:pt idx="1">
                  <c:v>13.17498</c:v>
                </c:pt>
                <c:pt idx="2">
                  <c:v>9.2099899999999995</c:v>
                </c:pt>
                <c:pt idx="3">
                  <c:v>6.675141</c:v>
                </c:pt>
                <c:pt idx="4">
                  <c:v>5.2685310000000003</c:v>
                </c:pt>
                <c:pt idx="5">
                  <c:v>4.3819629999999998</c:v>
                </c:pt>
                <c:pt idx="6">
                  <c:v>3.699678</c:v>
                </c:pt>
                <c:pt idx="7">
                  <c:v>3.200628</c:v>
                </c:pt>
                <c:pt idx="8">
                  <c:v>2.9098109999999999</c:v>
                </c:pt>
                <c:pt idx="9">
                  <c:v>2.6503040000000002</c:v>
                </c:pt>
                <c:pt idx="10">
                  <c:v>2.401484</c:v>
                </c:pt>
                <c:pt idx="11">
                  <c:v>2.1967660000000002</c:v>
                </c:pt>
                <c:pt idx="12">
                  <c:v>2.028559</c:v>
                </c:pt>
                <c:pt idx="13">
                  <c:v>1.893967</c:v>
                </c:pt>
                <c:pt idx="14">
                  <c:v>1.7591619999999999</c:v>
                </c:pt>
                <c:pt idx="15">
                  <c:v>1.59924</c:v>
                </c:pt>
                <c:pt idx="16">
                  <c:v>1.5212330000000001</c:v>
                </c:pt>
                <c:pt idx="17">
                  <c:v>1.4363360000000001</c:v>
                </c:pt>
                <c:pt idx="18">
                  <c:v>1.3651120000000001</c:v>
                </c:pt>
                <c:pt idx="19">
                  <c:v>1.314111</c:v>
                </c:pt>
              </c:numCache>
            </c:numRef>
          </c:yVal>
          <c:smooth val="1"/>
        </c:ser>
        <c:axId val="66414464"/>
        <c:axId val="66433024"/>
      </c:scatterChart>
      <c:valAx>
        <c:axId val="6641446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33024"/>
        <c:crosses val="autoZero"/>
        <c:crossBetween val="midCat"/>
      </c:valAx>
      <c:valAx>
        <c:axId val="66433024"/>
        <c:scaling>
          <c:orientation val="minMax"/>
        </c:scaling>
        <c:axPos val="l"/>
        <c:numFmt formatCode="General" sourceLinked="1"/>
        <c:tickLblPos val="nextTo"/>
        <c:crossAx val="66414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109267891"/>
          <c:y val="7.9861325745496814E-2"/>
          <c:w val="0.15000015289350971"/>
          <c:h val="0.8368085297748996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Chg_pos_A!$A$3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Chg_pos_A!$B$3:$U$3</c:f>
              <c:numCache>
                <c:formatCode>General</c:formatCode>
                <c:ptCount val="20"/>
                <c:pt idx="0">
                  <c:v>1517.9570000000001</c:v>
                </c:pt>
                <c:pt idx="1">
                  <c:v>1062.913</c:v>
                </c:pt>
                <c:pt idx="2">
                  <c:v>686.97940000000006</c:v>
                </c:pt>
                <c:pt idx="3">
                  <c:v>482.68779999999998</c:v>
                </c:pt>
                <c:pt idx="4">
                  <c:v>375.07870000000003</c:v>
                </c:pt>
                <c:pt idx="5">
                  <c:v>303.4563</c:v>
                </c:pt>
                <c:pt idx="6">
                  <c:v>252.691</c:v>
                </c:pt>
                <c:pt idx="7">
                  <c:v>218.79169999999999</c:v>
                </c:pt>
                <c:pt idx="8">
                  <c:v>192.0343</c:v>
                </c:pt>
                <c:pt idx="9">
                  <c:v>172.2304</c:v>
                </c:pt>
                <c:pt idx="10">
                  <c:v>154.79490000000001</c:v>
                </c:pt>
                <c:pt idx="11">
                  <c:v>140.96190000000001</c:v>
                </c:pt>
                <c:pt idx="12">
                  <c:v>127.892</c:v>
                </c:pt>
                <c:pt idx="13">
                  <c:v>116.8331</c:v>
                </c:pt>
                <c:pt idx="14">
                  <c:v>106.7071</c:v>
                </c:pt>
                <c:pt idx="15">
                  <c:v>99.345039999999997</c:v>
                </c:pt>
                <c:pt idx="16">
                  <c:v>93.50806</c:v>
                </c:pt>
                <c:pt idx="17">
                  <c:v>88.180080000000004</c:v>
                </c:pt>
                <c:pt idx="18">
                  <c:v>85.008009999999999</c:v>
                </c:pt>
                <c:pt idx="19">
                  <c:v>83.26097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Chg_pos_A!$A$4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Chg_pos_A!$B$4:$U$4</c:f>
              <c:numCache>
                <c:formatCode>General</c:formatCode>
                <c:ptCount val="20"/>
                <c:pt idx="0">
                  <c:v>1523.163</c:v>
                </c:pt>
                <c:pt idx="1">
                  <c:v>1057.0719999999999</c:v>
                </c:pt>
                <c:pt idx="2">
                  <c:v>686.65970000000004</c:v>
                </c:pt>
                <c:pt idx="3">
                  <c:v>481.87099999999998</c:v>
                </c:pt>
                <c:pt idx="4">
                  <c:v>370.673</c:v>
                </c:pt>
                <c:pt idx="5">
                  <c:v>304.7158</c:v>
                </c:pt>
                <c:pt idx="6">
                  <c:v>249.3058</c:v>
                </c:pt>
                <c:pt idx="7">
                  <c:v>214.7868</c:v>
                </c:pt>
                <c:pt idx="8">
                  <c:v>188.3391</c:v>
                </c:pt>
                <c:pt idx="9">
                  <c:v>168.73560000000001</c:v>
                </c:pt>
                <c:pt idx="10">
                  <c:v>151.35390000000001</c:v>
                </c:pt>
                <c:pt idx="11">
                  <c:v>137.80199999999999</c:v>
                </c:pt>
                <c:pt idx="12">
                  <c:v>125.688</c:v>
                </c:pt>
                <c:pt idx="13">
                  <c:v>115.992</c:v>
                </c:pt>
                <c:pt idx="14">
                  <c:v>108.4391</c:v>
                </c:pt>
                <c:pt idx="15">
                  <c:v>101.35509999999999</c:v>
                </c:pt>
                <c:pt idx="16">
                  <c:v>95.785070000000005</c:v>
                </c:pt>
                <c:pt idx="17">
                  <c:v>90.623019999999997</c:v>
                </c:pt>
                <c:pt idx="18">
                  <c:v>85.963949999999997</c:v>
                </c:pt>
                <c:pt idx="19">
                  <c:v>83.400940000000006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Chg_pos_A!$A$5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Chg_pos_A!$B$5:$U$5</c:f>
              <c:numCache>
                <c:formatCode>General</c:formatCode>
                <c:ptCount val="20"/>
                <c:pt idx="0">
                  <c:v>1421.826</c:v>
                </c:pt>
                <c:pt idx="1">
                  <c:v>985.77200000000005</c:v>
                </c:pt>
                <c:pt idx="2">
                  <c:v>653.27719999999999</c:v>
                </c:pt>
                <c:pt idx="3">
                  <c:v>464.15710000000001</c:v>
                </c:pt>
                <c:pt idx="4">
                  <c:v>360.2466</c:v>
                </c:pt>
                <c:pt idx="5">
                  <c:v>295.60399999999998</c:v>
                </c:pt>
                <c:pt idx="6">
                  <c:v>245.3528</c:v>
                </c:pt>
                <c:pt idx="7">
                  <c:v>209.07939999999999</c:v>
                </c:pt>
                <c:pt idx="8">
                  <c:v>183.54669999999999</c:v>
                </c:pt>
                <c:pt idx="9">
                  <c:v>161.16380000000001</c:v>
                </c:pt>
                <c:pt idx="10">
                  <c:v>145.517</c:v>
                </c:pt>
                <c:pt idx="11">
                  <c:v>132.4478</c:v>
                </c:pt>
                <c:pt idx="12">
                  <c:v>121.9679</c:v>
                </c:pt>
                <c:pt idx="13">
                  <c:v>113.708</c:v>
                </c:pt>
                <c:pt idx="14">
                  <c:v>108.218</c:v>
                </c:pt>
                <c:pt idx="15">
                  <c:v>101.822</c:v>
                </c:pt>
                <c:pt idx="16">
                  <c:v>95.75103</c:v>
                </c:pt>
                <c:pt idx="17">
                  <c:v>88.762039999999999</c:v>
                </c:pt>
                <c:pt idx="18">
                  <c:v>85.043940000000006</c:v>
                </c:pt>
                <c:pt idx="19">
                  <c:v>81.723929999999996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Chg_pos_A!$A$6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Chg_pos_A!$B$6:$U$6</c:f>
              <c:numCache>
                <c:formatCode>General</c:formatCode>
                <c:ptCount val="20"/>
                <c:pt idx="0">
                  <c:v>1514.028</c:v>
                </c:pt>
                <c:pt idx="1">
                  <c:v>1062.6510000000001</c:v>
                </c:pt>
                <c:pt idx="2">
                  <c:v>690.59339999999997</c:v>
                </c:pt>
                <c:pt idx="3">
                  <c:v>482.99889999999999</c:v>
                </c:pt>
                <c:pt idx="4">
                  <c:v>372.09379999999999</c:v>
                </c:pt>
                <c:pt idx="5">
                  <c:v>301.41649999999998</c:v>
                </c:pt>
                <c:pt idx="6">
                  <c:v>248.9906</c:v>
                </c:pt>
                <c:pt idx="7">
                  <c:v>214.84200000000001</c:v>
                </c:pt>
                <c:pt idx="8">
                  <c:v>189.9641</c:v>
                </c:pt>
                <c:pt idx="9">
                  <c:v>170.30459999999999</c:v>
                </c:pt>
                <c:pt idx="10">
                  <c:v>154.32980000000001</c:v>
                </c:pt>
                <c:pt idx="11">
                  <c:v>139.3758</c:v>
                </c:pt>
                <c:pt idx="12">
                  <c:v>126.79600000000001</c:v>
                </c:pt>
                <c:pt idx="13">
                  <c:v>116.40009999999999</c:v>
                </c:pt>
                <c:pt idx="14">
                  <c:v>108.592</c:v>
                </c:pt>
                <c:pt idx="15">
                  <c:v>99.905050000000003</c:v>
                </c:pt>
                <c:pt idx="16">
                  <c:v>93.175030000000007</c:v>
                </c:pt>
                <c:pt idx="17">
                  <c:v>88.481039999999993</c:v>
                </c:pt>
                <c:pt idx="18">
                  <c:v>85.570009999999996</c:v>
                </c:pt>
                <c:pt idx="19">
                  <c:v>83.941999999999993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Chg_pos_A!$A$7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Chg_pos_A!$B$7:$U$7</c:f>
              <c:numCache>
                <c:formatCode>General</c:formatCode>
                <c:ptCount val="20"/>
                <c:pt idx="0">
                  <c:v>1430.9670000000001</c:v>
                </c:pt>
                <c:pt idx="1">
                  <c:v>996.07249999999999</c:v>
                </c:pt>
                <c:pt idx="2">
                  <c:v>643.84469999999999</c:v>
                </c:pt>
                <c:pt idx="3">
                  <c:v>451.51209999999998</c:v>
                </c:pt>
                <c:pt idx="4">
                  <c:v>348.53070000000002</c:v>
                </c:pt>
                <c:pt idx="5">
                  <c:v>287.45780000000002</c:v>
                </c:pt>
                <c:pt idx="6">
                  <c:v>238.88800000000001</c:v>
                </c:pt>
                <c:pt idx="7">
                  <c:v>211.13</c:v>
                </c:pt>
                <c:pt idx="8">
                  <c:v>182.28190000000001</c:v>
                </c:pt>
                <c:pt idx="9">
                  <c:v>162.5299</c:v>
                </c:pt>
                <c:pt idx="10">
                  <c:v>146.3879</c:v>
                </c:pt>
                <c:pt idx="11">
                  <c:v>133.3689</c:v>
                </c:pt>
                <c:pt idx="12">
                  <c:v>121.43600000000001</c:v>
                </c:pt>
                <c:pt idx="13">
                  <c:v>113.23699999999999</c:v>
                </c:pt>
                <c:pt idx="14">
                  <c:v>104.65900000000001</c:v>
                </c:pt>
                <c:pt idx="15">
                  <c:v>97.093010000000007</c:v>
                </c:pt>
                <c:pt idx="16">
                  <c:v>90.811019999999999</c:v>
                </c:pt>
                <c:pt idx="17">
                  <c:v>86.049959999999999</c:v>
                </c:pt>
                <c:pt idx="18">
                  <c:v>82.051959999999994</c:v>
                </c:pt>
                <c:pt idx="19">
                  <c:v>79.000960000000006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Chg_pos_A!$A$8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Chg_pos_A!$B$8:$U$8</c:f>
              <c:numCache>
                <c:formatCode>General</c:formatCode>
                <c:ptCount val="20"/>
                <c:pt idx="0">
                  <c:v>1517.694</c:v>
                </c:pt>
                <c:pt idx="1">
                  <c:v>1055.212</c:v>
                </c:pt>
                <c:pt idx="2">
                  <c:v>688.02170000000001</c:v>
                </c:pt>
                <c:pt idx="3">
                  <c:v>480.8526</c:v>
                </c:pt>
                <c:pt idx="4">
                  <c:v>377.45</c:v>
                </c:pt>
                <c:pt idx="5">
                  <c:v>303.83839999999998</c:v>
                </c:pt>
                <c:pt idx="6">
                  <c:v>250.75059999999999</c:v>
                </c:pt>
                <c:pt idx="7">
                  <c:v>214.36500000000001</c:v>
                </c:pt>
                <c:pt idx="8">
                  <c:v>188.56219999999999</c:v>
                </c:pt>
                <c:pt idx="9">
                  <c:v>170.20949999999999</c:v>
                </c:pt>
                <c:pt idx="10">
                  <c:v>153.5608</c:v>
                </c:pt>
                <c:pt idx="11">
                  <c:v>139.51990000000001</c:v>
                </c:pt>
                <c:pt idx="12">
                  <c:v>127.20699999999999</c:v>
                </c:pt>
                <c:pt idx="13">
                  <c:v>117.029</c:v>
                </c:pt>
                <c:pt idx="14">
                  <c:v>108.07599999999999</c:v>
                </c:pt>
                <c:pt idx="15">
                  <c:v>100.33</c:v>
                </c:pt>
                <c:pt idx="16">
                  <c:v>96.134010000000004</c:v>
                </c:pt>
                <c:pt idx="17">
                  <c:v>90.184049999999999</c:v>
                </c:pt>
                <c:pt idx="18">
                  <c:v>87.054029999999997</c:v>
                </c:pt>
                <c:pt idx="19">
                  <c:v>85.417929999999998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Chg_pos_A!$A$9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Chg_pos_A!$B$9:$U$9</c:f>
              <c:numCache>
                <c:formatCode>General</c:formatCode>
                <c:ptCount val="20"/>
                <c:pt idx="0">
                  <c:v>1452.961</c:v>
                </c:pt>
                <c:pt idx="1">
                  <c:v>1004.538</c:v>
                </c:pt>
                <c:pt idx="2">
                  <c:v>639.71119999999996</c:v>
                </c:pt>
                <c:pt idx="3">
                  <c:v>445.22820000000002</c:v>
                </c:pt>
                <c:pt idx="4">
                  <c:v>341.24869999999999</c:v>
                </c:pt>
                <c:pt idx="5">
                  <c:v>274.64909999999998</c:v>
                </c:pt>
                <c:pt idx="6">
                  <c:v>232.68770000000001</c:v>
                </c:pt>
                <c:pt idx="7">
                  <c:v>198.7473</c:v>
                </c:pt>
                <c:pt idx="8">
                  <c:v>176.10069999999999</c:v>
                </c:pt>
                <c:pt idx="9">
                  <c:v>155.71279999999999</c:v>
                </c:pt>
                <c:pt idx="10">
                  <c:v>139.20699999999999</c:v>
                </c:pt>
                <c:pt idx="11">
                  <c:v>127.553</c:v>
                </c:pt>
                <c:pt idx="12">
                  <c:v>118.843</c:v>
                </c:pt>
                <c:pt idx="13">
                  <c:v>109.774</c:v>
                </c:pt>
                <c:pt idx="14">
                  <c:v>100.9641</c:v>
                </c:pt>
                <c:pt idx="15">
                  <c:v>94.858099999999993</c:v>
                </c:pt>
                <c:pt idx="16">
                  <c:v>88.917100000000005</c:v>
                </c:pt>
                <c:pt idx="17">
                  <c:v>82.600989999999996</c:v>
                </c:pt>
                <c:pt idx="18">
                  <c:v>78.881990000000002</c:v>
                </c:pt>
                <c:pt idx="19">
                  <c:v>78.227959999999996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Chg_pos_A!$A$10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Chg_pos_A!$B$10:$U$10</c:f>
              <c:numCache>
                <c:formatCode>General</c:formatCode>
                <c:ptCount val="20"/>
                <c:pt idx="0">
                  <c:v>1452.617</c:v>
                </c:pt>
                <c:pt idx="1">
                  <c:v>1013.624</c:v>
                </c:pt>
                <c:pt idx="2">
                  <c:v>664.3297</c:v>
                </c:pt>
                <c:pt idx="3">
                  <c:v>467.92090000000002</c:v>
                </c:pt>
                <c:pt idx="4">
                  <c:v>361.13260000000002</c:v>
                </c:pt>
                <c:pt idx="5">
                  <c:v>295.89679999999998</c:v>
                </c:pt>
                <c:pt idx="6">
                  <c:v>246.506</c:v>
                </c:pt>
                <c:pt idx="7">
                  <c:v>213.72890000000001</c:v>
                </c:pt>
                <c:pt idx="8">
                  <c:v>192.8339</c:v>
                </c:pt>
                <c:pt idx="9">
                  <c:v>173.9958</c:v>
                </c:pt>
                <c:pt idx="10">
                  <c:v>155.5309</c:v>
                </c:pt>
                <c:pt idx="11">
                  <c:v>140.32079999999999</c:v>
                </c:pt>
                <c:pt idx="12">
                  <c:v>127.679</c:v>
                </c:pt>
                <c:pt idx="13">
                  <c:v>118.304</c:v>
                </c:pt>
                <c:pt idx="14">
                  <c:v>110.244</c:v>
                </c:pt>
                <c:pt idx="15">
                  <c:v>100.1161</c:v>
                </c:pt>
                <c:pt idx="16">
                  <c:v>94.383099999999999</c:v>
                </c:pt>
                <c:pt idx="17">
                  <c:v>89.700959999999995</c:v>
                </c:pt>
                <c:pt idx="18">
                  <c:v>85.965959999999995</c:v>
                </c:pt>
                <c:pt idx="19">
                  <c:v>81.397909999999996</c:v>
                </c:pt>
              </c:numCache>
            </c:numRef>
          </c:yVal>
          <c:smooth val="1"/>
        </c:ser>
        <c:axId val="66376448"/>
        <c:axId val="66378368"/>
      </c:scatterChart>
      <c:valAx>
        <c:axId val="663764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378368"/>
        <c:crosses val="autoZero"/>
        <c:crossBetween val="midCat"/>
      </c:valAx>
      <c:valAx>
        <c:axId val="66378368"/>
        <c:scaling>
          <c:orientation val="minMax"/>
        </c:scaling>
        <c:axPos val="l"/>
        <c:numFmt formatCode="General" sourceLinked="1"/>
        <c:tickLblPos val="nextTo"/>
        <c:crossAx val="66376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845920006"/>
          <c:y val="7.9861355565848391E-2"/>
          <c:w val="0.15000015409032794"/>
          <c:h val="0.836808398950131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'Chg_T_pos_den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'!$B$3:$U$3</c:f>
              <c:numCache>
                <c:formatCode>General</c:formatCode>
                <c:ptCount val="20"/>
                <c:pt idx="0">
                  <c:v>1.2038615059583374E-2</c:v>
                </c:pt>
                <c:pt idx="1">
                  <c:v>1.3453340019361886E-2</c:v>
                </c:pt>
                <c:pt idx="2">
                  <c:v>1.4582096639287872E-2</c:v>
                </c:pt>
                <c:pt idx="3">
                  <c:v>1.4950112681530381E-2</c:v>
                </c:pt>
                <c:pt idx="4">
                  <c:v>1.5104270117178072E-2</c:v>
                </c:pt>
                <c:pt idx="5">
                  <c:v>1.5332438311546013E-2</c:v>
                </c:pt>
                <c:pt idx="6">
                  <c:v>1.5439168787174851E-2</c:v>
                </c:pt>
                <c:pt idx="7">
                  <c:v>1.5718809260131899E-2</c:v>
                </c:pt>
                <c:pt idx="8">
                  <c:v>1.5905294002165237E-2</c:v>
                </c:pt>
                <c:pt idx="9">
                  <c:v>1.5779717169558918E-2</c:v>
                </c:pt>
                <c:pt idx="10">
                  <c:v>1.5629707438681764E-2</c:v>
                </c:pt>
                <c:pt idx="11">
                  <c:v>1.5778880676267842E-2</c:v>
                </c:pt>
                <c:pt idx="12">
                  <c:v>1.5991500641165984E-2</c:v>
                </c:pt>
                <c:pt idx="13">
                  <c:v>1.6158639974459293E-2</c:v>
                </c:pt>
                <c:pt idx="14">
                  <c:v>1.650556523417842E-2</c:v>
                </c:pt>
                <c:pt idx="15">
                  <c:v>1.6571134301219266E-2</c:v>
                </c:pt>
                <c:pt idx="16">
                  <c:v>1.6701458676396452E-2</c:v>
                </c:pt>
                <c:pt idx="17">
                  <c:v>1.6800393013932397E-2</c:v>
                </c:pt>
                <c:pt idx="18">
                  <c:v>1.661379909963779E-2</c:v>
                </c:pt>
                <c:pt idx="19">
                  <c:v>1.622419243974698E-2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'Chg_T_pos_den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'!$B$4:$U$4</c:f>
              <c:numCache>
                <c:formatCode>General</c:formatCode>
                <c:ptCount val="20"/>
                <c:pt idx="0">
                  <c:v>1.1977378652186274E-2</c:v>
                </c:pt>
                <c:pt idx="1">
                  <c:v>1.3491711066039023E-2</c:v>
                </c:pt>
                <c:pt idx="2">
                  <c:v>1.4578997427692347E-2</c:v>
                </c:pt>
                <c:pt idx="3">
                  <c:v>1.4890877434002046E-2</c:v>
                </c:pt>
                <c:pt idx="4">
                  <c:v>1.5094174649893573E-2</c:v>
                </c:pt>
                <c:pt idx="5">
                  <c:v>1.5251749334954079E-2</c:v>
                </c:pt>
                <c:pt idx="6">
                  <c:v>1.5359642655726421E-2</c:v>
                </c:pt>
                <c:pt idx="7">
                  <c:v>1.560136377095799E-2</c:v>
                </c:pt>
                <c:pt idx="8">
                  <c:v>1.5667394608979229E-2</c:v>
                </c:pt>
                <c:pt idx="9">
                  <c:v>1.5828521070835079E-2</c:v>
                </c:pt>
                <c:pt idx="10">
                  <c:v>1.6057828704777344E-2</c:v>
                </c:pt>
                <c:pt idx="11">
                  <c:v>1.6056914993976865E-2</c:v>
                </c:pt>
                <c:pt idx="12">
                  <c:v>1.6046241486856343E-2</c:v>
                </c:pt>
                <c:pt idx="13">
                  <c:v>1.6433047106697012E-2</c:v>
                </c:pt>
                <c:pt idx="14">
                  <c:v>1.6648358387334458E-2</c:v>
                </c:pt>
                <c:pt idx="15">
                  <c:v>1.6668426157144537E-2</c:v>
                </c:pt>
                <c:pt idx="16">
                  <c:v>1.6697341245352746E-2</c:v>
                </c:pt>
                <c:pt idx="17">
                  <c:v>1.6739356070896778E-2</c:v>
                </c:pt>
                <c:pt idx="18">
                  <c:v>1.6567177287688618E-2</c:v>
                </c:pt>
                <c:pt idx="19">
                  <c:v>1.6469094952646816E-2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'Chg_T_pos_den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'!$B$5:$U$5</c:f>
              <c:numCache>
                <c:formatCode>General</c:formatCode>
                <c:ptCount val="20"/>
                <c:pt idx="0">
                  <c:v>1.1627562022357166E-2</c:v>
                </c:pt>
                <c:pt idx="1">
                  <c:v>1.2838465689834971E-2</c:v>
                </c:pt>
                <c:pt idx="2">
                  <c:v>1.3458300702978768E-2</c:v>
                </c:pt>
                <c:pt idx="3">
                  <c:v>1.3409655911759185E-2</c:v>
                </c:pt>
                <c:pt idx="4">
                  <c:v>1.3389467103922701E-2</c:v>
                </c:pt>
                <c:pt idx="5">
                  <c:v>1.357049972260186E-2</c:v>
                </c:pt>
                <c:pt idx="6">
                  <c:v>1.3935296438434776E-2</c:v>
                </c:pt>
                <c:pt idx="7">
                  <c:v>1.4039321903544778E-2</c:v>
                </c:pt>
                <c:pt idx="8">
                  <c:v>1.4208024442825722E-2</c:v>
                </c:pt>
                <c:pt idx="9">
                  <c:v>1.4189389925032792E-2</c:v>
                </c:pt>
                <c:pt idx="10">
                  <c:v>1.4412604712851419E-2</c:v>
                </c:pt>
                <c:pt idx="11">
                  <c:v>1.4302328917505613E-2</c:v>
                </c:pt>
                <c:pt idx="12">
                  <c:v>1.4214715511212376E-2</c:v>
                </c:pt>
                <c:pt idx="13">
                  <c:v>1.4411483800612093E-2</c:v>
                </c:pt>
                <c:pt idx="14">
                  <c:v>1.4459027148903139E-2</c:v>
                </c:pt>
                <c:pt idx="15">
                  <c:v>1.4613600204278054E-2</c:v>
                </c:pt>
                <c:pt idx="16">
                  <c:v>1.483026344468566E-2</c:v>
                </c:pt>
                <c:pt idx="17">
                  <c:v>1.5074304285931237E-2</c:v>
                </c:pt>
                <c:pt idx="18">
                  <c:v>1.5128120827892026E-2</c:v>
                </c:pt>
                <c:pt idx="19">
                  <c:v>1.4878261483509177E-2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'Chg_T_pos_den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'!$B$6:$U$6</c:f>
              <c:numCache>
                <c:formatCode>General</c:formatCode>
                <c:ptCount val="20"/>
                <c:pt idx="0">
                  <c:v>1.202365478049283E-2</c:v>
                </c:pt>
                <c:pt idx="1">
                  <c:v>1.3485509353494232E-2</c:v>
                </c:pt>
                <c:pt idx="2">
                  <c:v>1.4469427307008726E-2</c:v>
                </c:pt>
                <c:pt idx="3">
                  <c:v>1.4745480786809245E-2</c:v>
                </c:pt>
                <c:pt idx="4">
                  <c:v>1.4961552705258728E-2</c:v>
                </c:pt>
                <c:pt idx="5">
                  <c:v>1.5324827937422141E-2</c:v>
                </c:pt>
                <c:pt idx="6">
                  <c:v>1.5519469409688558E-2</c:v>
                </c:pt>
                <c:pt idx="7">
                  <c:v>1.5827729214957967E-2</c:v>
                </c:pt>
                <c:pt idx="8">
                  <c:v>1.6006487541593385E-2</c:v>
                </c:pt>
                <c:pt idx="9">
                  <c:v>1.5729363740028163E-2</c:v>
                </c:pt>
                <c:pt idx="10">
                  <c:v>1.5616854295152329E-2</c:v>
                </c:pt>
                <c:pt idx="11">
                  <c:v>1.5849193331984462E-2</c:v>
                </c:pt>
                <c:pt idx="12">
                  <c:v>1.5998951071011701E-2</c:v>
                </c:pt>
                <c:pt idx="13">
                  <c:v>1.6393645709926366E-2</c:v>
                </c:pt>
                <c:pt idx="14">
                  <c:v>1.6698274274348019E-2</c:v>
                </c:pt>
                <c:pt idx="15">
                  <c:v>1.6784807174412105E-2</c:v>
                </c:pt>
                <c:pt idx="16">
                  <c:v>1.6593855671417544E-2</c:v>
                </c:pt>
                <c:pt idx="17">
                  <c:v>1.6491793044023897E-2</c:v>
                </c:pt>
                <c:pt idx="18">
                  <c:v>1.6561222792892044E-2</c:v>
                </c:pt>
                <c:pt idx="19">
                  <c:v>1.6273486454933168E-2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'Chg_T_pos_den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'!$B$7:$U$7</c:f>
              <c:numCache>
                <c:formatCode>General</c:formatCode>
                <c:ptCount val="20"/>
                <c:pt idx="0">
                  <c:v>1.1836031159348887E-2</c:v>
                </c:pt>
                <c:pt idx="1">
                  <c:v>1.2934078593676665E-2</c:v>
                </c:pt>
                <c:pt idx="2">
                  <c:v>1.3778574243136582E-2</c:v>
                </c:pt>
                <c:pt idx="3">
                  <c:v>1.4118106690828441E-2</c:v>
                </c:pt>
                <c:pt idx="4">
                  <c:v>1.4248489444401883E-2</c:v>
                </c:pt>
                <c:pt idx="5">
                  <c:v>1.4500733672907815E-2</c:v>
                </c:pt>
                <c:pt idx="6">
                  <c:v>1.4418053648571716E-2</c:v>
                </c:pt>
                <c:pt idx="7">
                  <c:v>1.4730246767394496E-2</c:v>
                </c:pt>
                <c:pt idx="8">
                  <c:v>1.4796630932637852E-2</c:v>
                </c:pt>
                <c:pt idx="9">
                  <c:v>1.4656404759985701E-2</c:v>
                </c:pt>
                <c:pt idx="10">
                  <c:v>1.4723703256894864E-2</c:v>
                </c:pt>
                <c:pt idx="11">
                  <c:v>1.4832168519047544E-2</c:v>
                </c:pt>
                <c:pt idx="12">
                  <c:v>1.4844881254323263E-2</c:v>
                </c:pt>
                <c:pt idx="13">
                  <c:v>1.4838021141499687E-2</c:v>
                </c:pt>
                <c:pt idx="14">
                  <c:v>1.4925357589887157E-2</c:v>
                </c:pt>
                <c:pt idx="15">
                  <c:v>1.530894963499432E-2</c:v>
                </c:pt>
                <c:pt idx="16">
                  <c:v>1.5259172289882881E-2</c:v>
                </c:pt>
                <c:pt idx="17">
                  <c:v>1.5339193649828541E-2</c:v>
                </c:pt>
                <c:pt idx="18">
                  <c:v>1.5125232840263658E-2</c:v>
                </c:pt>
                <c:pt idx="19">
                  <c:v>1.502681739563671E-2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'Chg_T_pos_den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'!$B$8:$U$8</c:f>
              <c:numCache>
                <c:formatCode>General</c:formatCode>
                <c:ptCount val="20"/>
                <c:pt idx="0">
                  <c:v>1.1956198021472049E-2</c:v>
                </c:pt>
                <c:pt idx="1">
                  <c:v>1.3421217726864365E-2</c:v>
                </c:pt>
                <c:pt idx="2">
                  <c:v>1.4417944957259343E-2</c:v>
                </c:pt>
                <c:pt idx="3">
                  <c:v>1.4870419750251948E-2</c:v>
                </c:pt>
                <c:pt idx="4">
                  <c:v>1.4967555967677839E-2</c:v>
                </c:pt>
                <c:pt idx="5">
                  <c:v>1.5179246599508161E-2</c:v>
                </c:pt>
                <c:pt idx="6">
                  <c:v>1.5223887799271469E-2</c:v>
                </c:pt>
                <c:pt idx="7">
                  <c:v>1.5454467846896648E-2</c:v>
                </c:pt>
                <c:pt idx="8">
                  <c:v>1.5783847451928328E-2</c:v>
                </c:pt>
                <c:pt idx="9">
                  <c:v>1.5855043343644157E-2</c:v>
                </c:pt>
                <c:pt idx="10">
                  <c:v>1.6027840438445226E-2</c:v>
                </c:pt>
                <c:pt idx="11">
                  <c:v>1.6192629151827086E-2</c:v>
                </c:pt>
                <c:pt idx="12">
                  <c:v>1.6434425778455591E-2</c:v>
                </c:pt>
                <c:pt idx="13">
                  <c:v>1.6770287706465919E-2</c:v>
                </c:pt>
                <c:pt idx="14">
                  <c:v>1.6466801139938564E-2</c:v>
                </c:pt>
                <c:pt idx="15">
                  <c:v>1.6279886374962624E-2</c:v>
                </c:pt>
                <c:pt idx="16">
                  <c:v>1.6307246519728036E-2</c:v>
                </c:pt>
                <c:pt idx="17">
                  <c:v>1.6096815345950862E-2</c:v>
                </c:pt>
                <c:pt idx="18">
                  <c:v>1.5943558270650998E-2</c:v>
                </c:pt>
                <c:pt idx="19">
                  <c:v>1.5744141774449463E-2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'Chg_T_pos_den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'!$B$9:$U$9</c:f>
              <c:numCache>
                <c:formatCode>General</c:formatCode>
                <c:ptCount val="20"/>
                <c:pt idx="0">
                  <c:v>1.1752572849512134E-2</c:v>
                </c:pt>
                <c:pt idx="1">
                  <c:v>1.296720482450639E-2</c:v>
                </c:pt>
                <c:pt idx="2">
                  <c:v>1.3568802609677619E-2</c:v>
                </c:pt>
                <c:pt idx="3">
                  <c:v>1.362528923370083E-2</c:v>
                </c:pt>
                <c:pt idx="4">
                  <c:v>1.3730710182925239E-2</c:v>
                </c:pt>
                <c:pt idx="5">
                  <c:v>1.3959448620075582E-2</c:v>
                </c:pt>
                <c:pt idx="6">
                  <c:v>1.4187183078435172E-2</c:v>
                </c:pt>
                <c:pt idx="7">
                  <c:v>1.4257894321080086E-2</c:v>
                </c:pt>
                <c:pt idx="8">
                  <c:v>1.4117700838213591E-2</c:v>
                </c:pt>
                <c:pt idx="9">
                  <c:v>1.413190180897139E-2</c:v>
                </c:pt>
                <c:pt idx="10">
                  <c:v>1.4565510355082719E-2</c:v>
                </c:pt>
                <c:pt idx="11">
                  <c:v>1.4493857455332293E-2</c:v>
                </c:pt>
                <c:pt idx="12">
                  <c:v>1.4549927214896965E-2</c:v>
                </c:pt>
                <c:pt idx="13">
                  <c:v>1.4639668774026636E-2</c:v>
                </c:pt>
                <c:pt idx="14">
                  <c:v>1.4616621155440398E-2</c:v>
                </c:pt>
                <c:pt idx="15">
                  <c:v>1.4611287807788687E-2</c:v>
                </c:pt>
                <c:pt idx="16">
                  <c:v>1.4667190000573569E-2</c:v>
                </c:pt>
                <c:pt idx="17">
                  <c:v>1.4672269666501576E-2</c:v>
                </c:pt>
                <c:pt idx="18">
                  <c:v>1.4663854195361958E-2</c:v>
                </c:pt>
                <c:pt idx="19">
                  <c:v>1.4412097669426636E-2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'Chg_T_pos_den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'!$B$10:$U$10</c:f>
              <c:numCache>
                <c:formatCode>General</c:formatCode>
                <c:ptCount val="20"/>
                <c:pt idx="0">
                  <c:v>1.1727020955971191E-2</c:v>
                </c:pt>
                <c:pt idx="1">
                  <c:v>1.2997896655959211E-2</c:v>
                </c:pt>
                <c:pt idx="2">
                  <c:v>1.3863583097368671E-2</c:v>
                </c:pt>
                <c:pt idx="3">
                  <c:v>1.4265532913789488E-2</c:v>
                </c:pt>
                <c:pt idx="4">
                  <c:v>1.4588910001478682E-2</c:v>
                </c:pt>
                <c:pt idx="5">
                  <c:v>1.4809092224045681E-2</c:v>
                </c:pt>
                <c:pt idx="6">
                  <c:v>1.5008470382059666E-2</c:v>
                </c:pt>
                <c:pt idx="7">
                  <c:v>1.4975176496954786E-2</c:v>
                </c:pt>
                <c:pt idx="8">
                  <c:v>1.5089727480489685E-2</c:v>
                </c:pt>
                <c:pt idx="9">
                  <c:v>1.5231999852870012E-2</c:v>
                </c:pt>
                <c:pt idx="10">
                  <c:v>1.5440558757134433E-2</c:v>
                </c:pt>
                <c:pt idx="11">
                  <c:v>1.5655312683508078E-2</c:v>
                </c:pt>
                <c:pt idx="12">
                  <c:v>1.5887961215235082E-2</c:v>
                </c:pt>
                <c:pt idx="13">
                  <c:v>1.6009323437922638E-2</c:v>
                </c:pt>
                <c:pt idx="14">
                  <c:v>1.5956986321251043E-2</c:v>
                </c:pt>
                <c:pt idx="15">
                  <c:v>1.5973854355093735E-2</c:v>
                </c:pt>
                <c:pt idx="16">
                  <c:v>1.6117641823589181E-2</c:v>
                </c:pt>
                <c:pt idx="17">
                  <c:v>1.6012493065849016E-2</c:v>
                </c:pt>
                <c:pt idx="18">
                  <c:v>1.5879680748054233E-2</c:v>
                </c:pt>
                <c:pt idx="19">
                  <c:v>1.6144284294277337E-2</c:v>
                </c:pt>
              </c:numCache>
            </c:numRef>
          </c:yVal>
          <c:smooth val="1"/>
        </c:ser>
        <c:axId val="66600320"/>
        <c:axId val="66614784"/>
      </c:scatterChart>
      <c:valAx>
        <c:axId val="6660032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4784"/>
        <c:crosses val="autoZero"/>
        <c:crossBetween val="midCat"/>
      </c:valAx>
      <c:valAx>
        <c:axId val="66614784"/>
        <c:scaling>
          <c:orientation val="minMax"/>
        </c:scaling>
        <c:axPos val="l"/>
        <c:numFmt formatCode="General" sourceLinked="1"/>
        <c:tickLblPos val="nextTo"/>
        <c:crossAx val="6660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1118316132"/>
          <c:y val="7.9861338087456074E-2"/>
          <c:w val="0.14606535947712446"/>
          <c:h val="0.60655474669439946"/>
        </c:manualLayout>
      </c:layout>
      <c:spPr>
        <a:ln w="3175"/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Chg_S_pos_den!$A$3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Chg_S_pos_den!$B$3:$U$3</c:f>
              <c:numCache>
                <c:formatCode>General</c:formatCode>
                <c:ptCount val="20"/>
                <c:pt idx="0">
                  <c:v>2.1287161467955741E-3</c:v>
                </c:pt>
                <c:pt idx="1">
                  <c:v>2.569736415541772E-3</c:v>
                </c:pt>
                <c:pt idx="2">
                  <c:v>3.0946131254770849E-3</c:v>
                </c:pt>
                <c:pt idx="3">
                  <c:v>3.3476216476753212E-3</c:v>
                </c:pt>
                <c:pt idx="4">
                  <c:v>3.5747394643654896E-3</c:v>
                </c:pt>
                <c:pt idx="5">
                  <c:v>3.7567268602064583E-3</c:v>
                </c:pt>
                <c:pt idx="6">
                  <c:v>3.8570218192962857E-3</c:v>
                </c:pt>
                <c:pt idx="7">
                  <c:v>4.0349572833481197E-3</c:v>
                </c:pt>
                <c:pt idx="8">
                  <c:v>4.1589284907030235E-3</c:v>
                </c:pt>
                <c:pt idx="9">
                  <c:v>4.1798123338704441E-3</c:v>
                </c:pt>
                <c:pt idx="10">
                  <c:v>4.1502848368730159E-3</c:v>
                </c:pt>
                <c:pt idx="11">
                  <c:v>4.255050792491423E-3</c:v>
                </c:pt>
                <c:pt idx="12">
                  <c:v>4.297733943689438E-3</c:v>
                </c:pt>
                <c:pt idx="13">
                  <c:v>4.3077074728136242E-3</c:v>
                </c:pt>
                <c:pt idx="14">
                  <c:v>4.3913518397685819E-3</c:v>
                </c:pt>
                <c:pt idx="15">
                  <c:v>4.3969562697477897E-3</c:v>
                </c:pt>
                <c:pt idx="16">
                  <c:v>4.4209702394601034E-3</c:v>
                </c:pt>
                <c:pt idx="17">
                  <c:v>4.4558672257078748E-3</c:v>
                </c:pt>
                <c:pt idx="18">
                  <c:v>4.5220939034120965E-3</c:v>
                </c:pt>
                <c:pt idx="19">
                  <c:v>4.5031549106464234E-3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Chg_S_pos_den!$A$4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Chg_S_pos_den!$B$4:$U$4</c:f>
              <c:numCache>
                <c:formatCode>General</c:formatCode>
                <c:ptCount val="20"/>
                <c:pt idx="0">
                  <c:v>2.1164558254305335E-3</c:v>
                </c:pt>
                <c:pt idx="1">
                  <c:v>2.5574221263293955E-3</c:v>
                </c:pt>
                <c:pt idx="2">
                  <c:v>3.0750103592740614E-3</c:v>
                </c:pt>
                <c:pt idx="3">
                  <c:v>3.3294860825230192E-3</c:v>
                </c:pt>
                <c:pt idx="4">
                  <c:v>3.5341176396275755E-3</c:v>
                </c:pt>
                <c:pt idx="5">
                  <c:v>3.7342254862179651E-3</c:v>
                </c:pt>
                <c:pt idx="6">
                  <c:v>3.8010404786082484E-3</c:v>
                </c:pt>
                <c:pt idx="7">
                  <c:v>3.9294274447705382E-3</c:v>
                </c:pt>
                <c:pt idx="8">
                  <c:v>3.9899250701601026E-3</c:v>
                </c:pt>
                <c:pt idx="9">
                  <c:v>4.0922722676802522E-3</c:v>
                </c:pt>
                <c:pt idx="10">
                  <c:v>4.1846117980393191E-3</c:v>
                </c:pt>
                <c:pt idx="11">
                  <c:v>4.2237995765653695E-3</c:v>
                </c:pt>
                <c:pt idx="12">
                  <c:v>4.2311358834023968E-3</c:v>
                </c:pt>
                <c:pt idx="13">
                  <c:v>4.3165741008090314E-3</c:v>
                </c:pt>
                <c:pt idx="14">
                  <c:v>4.3848657980647488E-3</c:v>
                </c:pt>
                <c:pt idx="15">
                  <c:v>4.4097893810899772E-3</c:v>
                </c:pt>
                <c:pt idx="16">
                  <c:v>4.4400741457813553E-3</c:v>
                </c:pt>
                <c:pt idx="17">
                  <c:v>4.445645016225303E-3</c:v>
                </c:pt>
                <c:pt idx="18">
                  <c:v>4.4977069015284584E-3</c:v>
                </c:pt>
                <c:pt idx="19">
                  <c:v>4.5728673831903583E-3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Chg_S_pos_den!$A$5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Chg_S_pos_den!$B$5:$U$5</c:f>
              <c:numCache>
                <c:formatCode>General</c:formatCode>
                <c:ptCount val="20"/>
                <c:pt idx="0">
                  <c:v>1.9642468032990811E-3</c:v>
                </c:pt>
                <c:pt idx="1">
                  <c:v>2.3159846457453722E-3</c:v>
                </c:pt>
                <c:pt idx="2">
                  <c:v>2.7163169934155892E-3</c:v>
                </c:pt>
                <c:pt idx="3">
                  <c:v>2.8764277725915723E-3</c:v>
                </c:pt>
                <c:pt idx="4">
                  <c:v>3.0306063273475292E-3</c:v>
                </c:pt>
                <c:pt idx="5">
                  <c:v>3.1923828350375579E-3</c:v>
                </c:pt>
                <c:pt idx="6">
                  <c:v>3.3232061194834986E-3</c:v>
                </c:pt>
                <c:pt idx="7">
                  <c:v>3.4004180359953947E-3</c:v>
                </c:pt>
                <c:pt idx="8">
                  <c:v>3.5066919770367156E-3</c:v>
                </c:pt>
                <c:pt idx="9">
                  <c:v>3.5284015980455367E-3</c:v>
                </c:pt>
                <c:pt idx="10">
                  <c:v>3.6579964903951556E-3</c:v>
                </c:pt>
                <c:pt idx="11">
                  <c:v>3.6214125197266611E-3</c:v>
                </c:pt>
                <c:pt idx="12">
                  <c:v>3.6367093607342811E-3</c:v>
                </c:pt>
                <c:pt idx="13">
                  <c:v>3.73529543166832E-3</c:v>
                </c:pt>
                <c:pt idx="14">
                  <c:v>3.8297741629932762E-3</c:v>
                </c:pt>
                <c:pt idx="15">
                  <c:v>3.8853761473782999E-3</c:v>
                </c:pt>
                <c:pt idx="16">
                  <c:v>3.9866717238912592E-3</c:v>
                </c:pt>
                <c:pt idx="17">
                  <c:v>3.9933803098540265E-3</c:v>
                </c:pt>
                <c:pt idx="18">
                  <c:v>4.0648355415415375E-3</c:v>
                </c:pt>
                <c:pt idx="19">
                  <c:v>4.0428897230182807E-3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Chg_S_pos_den!$A$6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Chg_S_pos_den!$B$6:$U$6</c:f>
              <c:numCache>
                <c:formatCode>General</c:formatCode>
                <c:ptCount val="20"/>
                <c:pt idx="0">
                  <c:v>2.1180460011506978E-3</c:v>
                </c:pt>
                <c:pt idx="1">
                  <c:v>2.5637723246073221E-3</c:v>
                </c:pt>
                <c:pt idx="2">
                  <c:v>3.0737812757718756E-3</c:v>
                </c:pt>
                <c:pt idx="3">
                  <c:v>3.3044590390597997E-3</c:v>
                </c:pt>
                <c:pt idx="4">
                  <c:v>3.5047158883446858E-3</c:v>
                </c:pt>
                <c:pt idx="5">
                  <c:v>3.7148142012253089E-3</c:v>
                </c:pt>
                <c:pt idx="6">
                  <c:v>3.8255486563759772E-3</c:v>
                </c:pt>
                <c:pt idx="7">
                  <c:v>3.9699211832310384E-3</c:v>
                </c:pt>
                <c:pt idx="8">
                  <c:v>4.1117466111124041E-3</c:v>
                </c:pt>
                <c:pt idx="9">
                  <c:v>4.1259736061081062E-3</c:v>
                </c:pt>
                <c:pt idx="10">
                  <c:v>4.1372494862654211E-3</c:v>
                </c:pt>
                <c:pt idx="11">
                  <c:v>4.2189747424250671E-3</c:v>
                </c:pt>
                <c:pt idx="12">
                  <c:v>4.2556360977095628E-3</c:v>
                </c:pt>
                <c:pt idx="13">
                  <c:v>4.3762093089122784E-3</c:v>
                </c:pt>
                <c:pt idx="14">
                  <c:v>4.4737146605829574E-3</c:v>
                </c:pt>
                <c:pt idx="15">
                  <c:v>4.4580261975206174E-3</c:v>
                </c:pt>
                <c:pt idx="16">
                  <c:v>4.419059427235127E-3</c:v>
                </c:pt>
                <c:pt idx="17">
                  <c:v>4.3954508390663229E-3</c:v>
                </c:pt>
                <c:pt idx="18">
                  <c:v>4.5681063819019508E-3</c:v>
                </c:pt>
                <c:pt idx="19">
                  <c:v>4.5838976396448397E-3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Chg_S_pos_den!$A$7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Chg_S_pos_den!$B$7:$U$7</c:f>
              <c:numCache>
                <c:formatCode>General</c:formatCode>
                <c:ptCount val="20"/>
                <c:pt idx="0">
                  <c:v>2.0123825251649251E-3</c:v>
                </c:pt>
                <c:pt idx="1">
                  <c:v>2.3473970022917733E-3</c:v>
                </c:pt>
                <c:pt idx="2">
                  <c:v>2.7650853376570998E-3</c:v>
                </c:pt>
                <c:pt idx="3">
                  <c:v>2.9269257594882366E-3</c:v>
                </c:pt>
                <c:pt idx="4">
                  <c:v>3.0875090460996697E-3</c:v>
                </c:pt>
                <c:pt idx="5">
                  <c:v>3.3210840104946392E-3</c:v>
                </c:pt>
                <c:pt idx="6">
                  <c:v>3.3841268406464655E-3</c:v>
                </c:pt>
                <c:pt idx="7">
                  <c:v>3.6089628155785728E-3</c:v>
                </c:pt>
                <c:pt idx="8">
                  <c:v>3.6185035432962057E-3</c:v>
                </c:pt>
                <c:pt idx="9">
                  <c:v>3.6338019746761604E-3</c:v>
                </c:pt>
                <c:pt idx="10">
                  <c:v>3.6989692554582126E-3</c:v>
                </c:pt>
                <c:pt idx="11">
                  <c:v>3.7522468146257487E-3</c:v>
                </c:pt>
                <c:pt idx="12">
                  <c:v>3.739277364642512E-3</c:v>
                </c:pt>
                <c:pt idx="13">
                  <c:v>3.7817202214906818E-3</c:v>
                </c:pt>
                <c:pt idx="14">
                  <c:v>3.7845802280187827E-3</c:v>
                </c:pt>
                <c:pt idx="15">
                  <c:v>3.8507854074551337E-3</c:v>
                </c:pt>
                <c:pt idx="16">
                  <c:v>3.8560460599179648E-3</c:v>
                </c:pt>
                <c:pt idx="17">
                  <c:v>3.8930831652394787E-3</c:v>
                </c:pt>
                <c:pt idx="18">
                  <c:v>3.8910595503250664E-3</c:v>
                </c:pt>
                <c:pt idx="19">
                  <c:v>3.8922406204067606E-3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Chg_S_pos_den!$A$8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Chg_S_pos_den!$B$8:$U$8</c:f>
              <c:numCache>
                <c:formatCode>General</c:formatCode>
                <c:ptCount val="20"/>
                <c:pt idx="0">
                  <c:v>2.1142590157650271E-3</c:v>
                </c:pt>
                <c:pt idx="1">
                  <c:v>2.5376538568773564E-3</c:v>
                </c:pt>
                <c:pt idx="2">
                  <c:v>3.0465705017760653E-3</c:v>
                </c:pt>
                <c:pt idx="3">
                  <c:v>3.3207447628636555E-3</c:v>
                </c:pt>
                <c:pt idx="4">
                  <c:v>3.544368727014476E-3</c:v>
                </c:pt>
                <c:pt idx="5">
                  <c:v>3.7022536038878156E-3</c:v>
                </c:pt>
                <c:pt idx="6">
                  <c:v>3.7748003777372356E-3</c:v>
                </c:pt>
                <c:pt idx="7">
                  <c:v>3.8809687564687265E-3</c:v>
                </c:pt>
                <c:pt idx="8">
                  <c:v>4.0246667000225821E-3</c:v>
                </c:pt>
                <c:pt idx="9">
                  <c:v>4.1656585726376448E-3</c:v>
                </c:pt>
                <c:pt idx="10">
                  <c:v>4.2866689668252913E-3</c:v>
                </c:pt>
                <c:pt idx="11">
                  <c:v>4.3532131623387482E-3</c:v>
                </c:pt>
                <c:pt idx="12">
                  <c:v>4.418058430849108E-3</c:v>
                </c:pt>
                <c:pt idx="13">
                  <c:v>4.4781006342232291E-3</c:v>
                </c:pt>
                <c:pt idx="14">
                  <c:v>4.3979465148876193E-3</c:v>
                </c:pt>
                <c:pt idx="15">
                  <c:v>4.3263245414195736E-3</c:v>
                </c:pt>
                <c:pt idx="16">
                  <c:v>4.4346821980018941E-3</c:v>
                </c:pt>
                <c:pt idx="17">
                  <c:v>4.3647745415512839E-3</c:v>
                </c:pt>
                <c:pt idx="18">
                  <c:v>4.4625134032849501E-3</c:v>
                </c:pt>
                <c:pt idx="19">
                  <c:v>4.5281026596919564E-3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Chg_S_pos_den!$A$9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Chg_S_pos_den!$B$9:$U$9</c:f>
              <c:numCache>
                <c:formatCode>General</c:formatCode>
                <c:ptCount val="20"/>
                <c:pt idx="0">
                  <c:v>2.0372128314595883E-3</c:v>
                </c:pt>
                <c:pt idx="1">
                  <c:v>2.3897404831785003E-3</c:v>
                </c:pt>
                <c:pt idx="2">
                  <c:v>2.7289128255946001E-3</c:v>
                </c:pt>
                <c:pt idx="3">
                  <c:v>2.8215851838897408E-3</c:v>
                </c:pt>
                <c:pt idx="4">
                  <c:v>2.9663442820035413E-3</c:v>
                </c:pt>
                <c:pt idx="5">
                  <c:v>3.0960598611680873E-3</c:v>
                </c:pt>
                <c:pt idx="6">
                  <c:v>3.2633703280093556E-3</c:v>
                </c:pt>
                <c:pt idx="7">
                  <c:v>3.3365108303746427E-3</c:v>
                </c:pt>
                <c:pt idx="8">
                  <c:v>3.3522063205697621E-3</c:v>
                </c:pt>
                <c:pt idx="9">
                  <c:v>3.397388887533684E-3</c:v>
                </c:pt>
                <c:pt idx="10">
                  <c:v>3.4809780835934252E-3</c:v>
                </c:pt>
                <c:pt idx="11">
                  <c:v>3.5533469580508494E-3</c:v>
                </c:pt>
                <c:pt idx="12">
                  <c:v>3.6593042112460588E-3</c:v>
                </c:pt>
                <c:pt idx="13">
                  <c:v>3.6880976745584356E-3</c:v>
                </c:pt>
                <c:pt idx="14">
                  <c:v>3.6624640579420967E-3</c:v>
                </c:pt>
                <c:pt idx="15">
                  <c:v>3.62329850589806E-3</c:v>
                </c:pt>
                <c:pt idx="16">
                  <c:v>3.6641755840941957E-3</c:v>
                </c:pt>
                <c:pt idx="17">
                  <c:v>3.6458358088759745E-3</c:v>
                </c:pt>
                <c:pt idx="18">
                  <c:v>3.6799854418521935E-3</c:v>
                </c:pt>
                <c:pt idx="19">
                  <c:v>3.7355971649422198E-3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Chg_S_pos_den!$A$10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Chg_S_pos_den!$B$10:$U$10</c:f>
              <c:numCache>
                <c:formatCode>General</c:formatCode>
                <c:ptCount val="20"/>
                <c:pt idx="0">
                  <c:v>2.0224737910447478E-3</c:v>
                </c:pt>
                <c:pt idx="1">
                  <c:v>2.403274660508437E-3</c:v>
                </c:pt>
                <c:pt idx="2">
                  <c:v>2.86167262305361E-3</c:v>
                </c:pt>
                <c:pt idx="3">
                  <c:v>3.0928445367619088E-3</c:v>
                </c:pt>
                <c:pt idx="4">
                  <c:v>3.2859027276231248E-3</c:v>
                </c:pt>
                <c:pt idx="5">
                  <c:v>3.4966609080063996E-3</c:v>
                </c:pt>
                <c:pt idx="6">
                  <c:v>3.6336473601709732E-3</c:v>
                </c:pt>
                <c:pt idx="7">
                  <c:v>3.7095462086894136E-3</c:v>
                </c:pt>
                <c:pt idx="8">
                  <c:v>3.8647286339342289E-3</c:v>
                </c:pt>
                <c:pt idx="9">
                  <c:v>4.0301769364071496E-3</c:v>
                </c:pt>
                <c:pt idx="10">
                  <c:v>4.0963878028323691E-3</c:v>
                </c:pt>
                <c:pt idx="11">
                  <c:v>4.1773396354431308E-3</c:v>
                </c:pt>
                <c:pt idx="12">
                  <c:v>4.2197575847338457E-3</c:v>
                </c:pt>
                <c:pt idx="13">
                  <c:v>4.2940359471937729E-3</c:v>
                </c:pt>
                <c:pt idx="14">
                  <c:v>4.3177206105416309E-3</c:v>
                </c:pt>
                <c:pt idx="15">
                  <c:v>4.2327498979025492E-3</c:v>
                </c:pt>
                <c:pt idx="16">
                  <c:v>4.2866389500836634E-3</c:v>
                </c:pt>
                <c:pt idx="17">
                  <c:v>4.2874677619638936E-3</c:v>
                </c:pt>
                <c:pt idx="18">
                  <c:v>4.3009524961751446E-3</c:v>
                </c:pt>
                <c:pt idx="19">
                  <c:v>4.3727919515479672E-3</c:v>
                </c:pt>
              </c:numCache>
            </c:numRef>
          </c:yVal>
          <c:smooth val="1"/>
        </c:ser>
        <c:axId val="66750720"/>
        <c:axId val="66765184"/>
      </c:scatterChart>
      <c:valAx>
        <c:axId val="6675072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65184"/>
        <c:crosses val="autoZero"/>
        <c:crossBetween val="midCat"/>
      </c:valAx>
      <c:valAx>
        <c:axId val="66765184"/>
        <c:scaling>
          <c:orientation val="minMax"/>
        </c:scaling>
        <c:axPos val="l"/>
        <c:numFmt formatCode="General" sourceLinked="1"/>
        <c:tickLblPos val="nextTo"/>
        <c:crossAx val="66750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548556430503E-2"/>
          <c:w val="0.15000030638193587"/>
          <c:h val="0.836808398950131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Chg_T_neg!$A$3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Chg_T_neg!$B$3:$U$3</c:f>
              <c:numCache>
                <c:formatCode>General</c:formatCode>
                <c:ptCount val="20"/>
                <c:pt idx="0">
                  <c:v>-52.929450000000003</c:v>
                </c:pt>
                <c:pt idx="1">
                  <c:v>-33.884390000000003</c:v>
                </c:pt>
                <c:pt idx="2">
                  <c:v>-20.151859999999999</c:v>
                </c:pt>
                <c:pt idx="3">
                  <c:v>-13.496969999999999</c:v>
                </c:pt>
                <c:pt idx="4">
                  <c:v>-9.9035189999999993</c:v>
                </c:pt>
                <c:pt idx="5">
                  <c:v>-7.5930799999999996</c:v>
                </c:pt>
                <c:pt idx="6">
                  <c:v>-6.1650530000000003</c:v>
                </c:pt>
                <c:pt idx="7">
                  <c:v>-5.1580199999999996</c:v>
                </c:pt>
                <c:pt idx="8">
                  <c:v>-4.3839389999999998</c:v>
                </c:pt>
                <c:pt idx="9">
                  <c:v>-3.8883740000000002</c:v>
                </c:pt>
                <c:pt idx="10">
                  <c:v>-3.487778</c:v>
                </c:pt>
                <c:pt idx="11">
                  <c:v>-3.0670109999999999</c:v>
                </c:pt>
                <c:pt idx="12">
                  <c:v>-2.7958759999999998</c:v>
                </c:pt>
                <c:pt idx="13">
                  <c:v>-2.565995</c:v>
                </c:pt>
                <c:pt idx="14">
                  <c:v>-2.333631</c:v>
                </c:pt>
                <c:pt idx="15">
                  <c:v>-2.1371760000000002</c:v>
                </c:pt>
                <c:pt idx="16">
                  <c:v>-2.0199090000000002</c:v>
                </c:pt>
                <c:pt idx="17">
                  <c:v>-1.8903920000000001</c:v>
                </c:pt>
                <c:pt idx="18">
                  <c:v>-1.775201</c:v>
                </c:pt>
                <c:pt idx="19">
                  <c:v>-1.6977409999999999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Chg_T_neg!$A$4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Chg_T_neg!$B$4:$U$4</c:f>
              <c:numCache>
                <c:formatCode>General</c:formatCode>
                <c:ptCount val="20"/>
                <c:pt idx="0">
                  <c:v>-53.038350000000001</c:v>
                </c:pt>
                <c:pt idx="1">
                  <c:v>-34.093679999999999</c:v>
                </c:pt>
                <c:pt idx="2">
                  <c:v>-20.323899999999998</c:v>
                </c:pt>
                <c:pt idx="3">
                  <c:v>-13.5402</c:v>
                </c:pt>
                <c:pt idx="4">
                  <c:v>-9.9595369999999992</c:v>
                </c:pt>
                <c:pt idx="5">
                  <c:v>-7.5927720000000001</c:v>
                </c:pt>
                <c:pt idx="6">
                  <c:v>-6.1892569999999996</c:v>
                </c:pt>
                <c:pt idx="7">
                  <c:v>-5.1735239999999996</c:v>
                </c:pt>
                <c:pt idx="8">
                  <c:v>-4.4453370000000003</c:v>
                </c:pt>
                <c:pt idx="9">
                  <c:v>-3.8485140000000002</c:v>
                </c:pt>
                <c:pt idx="10">
                  <c:v>-3.422946</c:v>
                </c:pt>
                <c:pt idx="11">
                  <c:v>-3.063631</c:v>
                </c:pt>
                <c:pt idx="12">
                  <c:v>-2.8129780000000002</c:v>
                </c:pt>
                <c:pt idx="13">
                  <c:v>-2.5971489999999999</c:v>
                </c:pt>
                <c:pt idx="14">
                  <c:v>-2.3975759999999999</c:v>
                </c:pt>
                <c:pt idx="15">
                  <c:v>-2.2418849999999999</c:v>
                </c:pt>
                <c:pt idx="16">
                  <c:v>-2.090195</c:v>
                </c:pt>
                <c:pt idx="17">
                  <c:v>-1.9746440000000001</c:v>
                </c:pt>
                <c:pt idx="18">
                  <c:v>-1.829243</c:v>
                </c:pt>
                <c:pt idx="19">
                  <c:v>-1.6985490000000001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Chg_T_neg!$A$5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Chg_T_neg!$B$5:$U$5</c:f>
              <c:numCache>
                <c:formatCode>General</c:formatCode>
                <c:ptCount val="20"/>
                <c:pt idx="0">
                  <c:v>-52.981650000000002</c:v>
                </c:pt>
                <c:pt idx="1">
                  <c:v>-34.276330000000002</c:v>
                </c:pt>
                <c:pt idx="2">
                  <c:v>-20.434249999999999</c:v>
                </c:pt>
                <c:pt idx="3">
                  <c:v>-13.72498</c:v>
                </c:pt>
                <c:pt idx="4">
                  <c:v>-10.06934</c:v>
                </c:pt>
                <c:pt idx="5">
                  <c:v>-7.913227</c:v>
                </c:pt>
                <c:pt idx="6">
                  <c:v>-6.4325029999999996</c:v>
                </c:pt>
                <c:pt idx="7">
                  <c:v>-5.3807720000000003</c:v>
                </c:pt>
                <c:pt idx="8">
                  <c:v>-4.5324049999999998</c:v>
                </c:pt>
                <c:pt idx="9">
                  <c:v>-3.9084989999999999</c:v>
                </c:pt>
                <c:pt idx="10">
                  <c:v>-3.3902519999999998</c:v>
                </c:pt>
                <c:pt idx="11">
                  <c:v>-3.1086520000000002</c:v>
                </c:pt>
                <c:pt idx="12">
                  <c:v>-2.8158029999999998</c:v>
                </c:pt>
                <c:pt idx="13">
                  <c:v>-2.5681780000000001</c:v>
                </c:pt>
                <c:pt idx="14">
                  <c:v>-2.3664900000000002</c:v>
                </c:pt>
                <c:pt idx="15">
                  <c:v>-2.2149230000000002</c:v>
                </c:pt>
                <c:pt idx="16">
                  <c:v>-2.0523069999999999</c:v>
                </c:pt>
                <c:pt idx="17">
                  <c:v>-1.923905</c:v>
                </c:pt>
                <c:pt idx="18">
                  <c:v>-1.8067930000000001</c:v>
                </c:pt>
                <c:pt idx="19">
                  <c:v>-1.6977199999999999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Chg_T_neg!$A$6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Chg_T_neg!$B$6:$U$6</c:f>
              <c:numCache>
                <c:formatCode>General</c:formatCode>
                <c:ptCount val="20"/>
                <c:pt idx="0">
                  <c:v>-53.267870000000002</c:v>
                </c:pt>
                <c:pt idx="1">
                  <c:v>-34.440770000000001</c:v>
                </c:pt>
                <c:pt idx="2">
                  <c:v>-20.465039999999998</c:v>
                </c:pt>
                <c:pt idx="3">
                  <c:v>-13.612299999999999</c:v>
                </c:pt>
                <c:pt idx="4">
                  <c:v>-9.9865870000000001</c:v>
                </c:pt>
                <c:pt idx="5">
                  <c:v>-7.6955739999999997</c:v>
                </c:pt>
                <c:pt idx="6">
                  <c:v>-6.2238309999999997</c:v>
                </c:pt>
                <c:pt idx="7">
                  <c:v>-5.2809929999999996</c:v>
                </c:pt>
                <c:pt idx="8">
                  <c:v>-4.5026279999999996</c:v>
                </c:pt>
                <c:pt idx="9">
                  <c:v>-3.9047589999999999</c:v>
                </c:pt>
                <c:pt idx="10">
                  <c:v>-3.4697640000000001</c:v>
                </c:pt>
                <c:pt idx="11">
                  <c:v>-3.1078079999999999</c:v>
                </c:pt>
                <c:pt idx="12">
                  <c:v>-2.8267440000000001</c:v>
                </c:pt>
                <c:pt idx="13">
                  <c:v>-2.5724649999999998</c:v>
                </c:pt>
                <c:pt idx="14">
                  <c:v>-2.3735010000000001</c:v>
                </c:pt>
                <c:pt idx="15">
                  <c:v>-2.1844420000000002</c:v>
                </c:pt>
                <c:pt idx="16">
                  <c:v>-1.986904</c:v>
                </c:pt>
                <c:pt idx="17">
                  <c:v>-1.8881349999999999</c:v>
                </c:pt>
                <c:pt idx="18">
                  <c:v>-1.775334</c:v>
                </c:pt>
                <c:pt idx="19">
                  <c:v>-1.6787209999999999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Chg_T_neg!$A$7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Chg_T_neg!$B$7:$U$7</c:f>
              <c:numCache>
                <c:formatCode>General</c:formatCode>
                <c:ptCount val="20"/>
                <c:pt idx="0">
                  <c:v>-52.526000000000003</c:v>
                </c:pt>
                <c:pt idx="1">
                  <c:v>-33.96904</c:v>
                </c:pt>
                <c:pt idx="2">
                  <c:v>-19.897500000000001</c:v>
                </c:pt>
                <c:pt idx="3">
                  <c:v>-13.40218</c:v>
                </c:pt>
                <c:pt idx="4">
                  <c:v>-9.9042750000000002</c:v>
                </c:pt>
                <c:pt idx="5">
                  <c:v>-7.5478040000000002</c:v>
                </c:pt>
                <c:pt idx="6">
                  <c:v>-5.9894670000000003</c:v>
                </c:pt>
                <c:pt idx="7">
                  <c:v>-4.9976649999999996</c:v>
                </c:pt>
                <c:pt idx="8">
                  <c:v>-4.328665</c:v>
                </c:pt>
                <c:pt idx="9">
                  <c:v>-3.7798799999999999</c:v>
                </c:pt>
                <c:pt idx="10">
                  <c:v>-3.3286159999999998</c:v>
                </c:pt>
                <c:pt idx="11">
                  <c:v>-2.9990839999999999</c:v>
                </c:pt>
                <c:pt idx="12">
                  <c:v>-2.7328130000000002</c:v>
                </c:pt>
                <c:pt idx="13">
                  <c:v>-2.498821</c:v>
                </c:pt>
                <c:pt idx="14">
                  <c:v>-2.3489460000000002</c:v>
                </c:pt>
                <c:pt idx="15">
                  <c:v>-2.198788</c:v>
                </c:pt>
                <c:pt idx="16">
                  <c:v>-2.0058590000000001</c:v>
                </c:pt>
                <c:pt idx="17">
                  <c:v>-1.881966</c:v>
                </c:pt>
                <c:pt idx="18">
                  <c:v>-1.7621150000000001</c:v>
                </c:pt>
                <c:pt idx="19">
                  <c:v>-1.6809050000000001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Chg_T_neg!$A$8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Chg_T_neg!$B$8:$U$8</c:f>
              <c:numCache>
                <c:formatCode>General</c:formatCode>
                <c:ptCount val="20"/>
                <c:pt idx="0">
                  <c:v>-53.187869999999997</c:v>
                </c:pt>
                <c:pt idx="1">
                  <c:v>-34.399039999999999</c:v>
                </c:pt>
                <c:pt idx="2">
                  <c:v>-20.40485</c:v>
                </c:pt>
                <c:pt idx="3">
                  <c:v>-13.55354</c:v>
                </c:pt>
                <c:pt idx="4">
                  <c:v>-9.999136</c:v>
                </c:pt>
                <c:pt idx="5">
                  <c:v>-7.690925</c:v>
                </c:pt>
                <c:pt idx="6">
                  <c:v>-6.1674660000000001</c:v>
                </c:pt>
                <c:pt idx="7">
                  <c:v>-5.2393530000000004</c:v>
                </c:pt>
                <c:pt idx="8">
                  <c:v>-4.454771</c:v>
                </c:pt>
                <c:pt idx="9">
                  <c:v>-3.8792990000000001</c:v>
                </c:pt>
                <c:pt idx="10">
                  <c:v>-3.421589</c:v>
                </c:pt>
                <c:pt idx="11">
                  <c:v>-3.0567519999999999</c:v>
                </c:pt>
                <c:pt idx="12">
                  <c:v>-2.7675649999999998</c:v>
                </c:pt>
                <c:pt idx="13">
                  <c:v>-2.5913029999999999</c:v>
                </c:pt>
                <c:pt idx="14">
                  <c:v>-2.3862559999999999</c:v>
                </c:pt>
                <c:pt idx="15">
                  <c:v>-2.2298930000000001</c:v>
                </c:pt>
                <c:pt idx="16">
                  <c:v>-2.0557919999999998</c:v>
                </c:pt>
                <c:pt idx="17">
                  <c:v>-1.9254070000000001</c:v>
                </c:pt>
                <c:pt idx="18">
                  <c:v>-1.78799</c:v>
                </c:pt>
                <c:pt idx="19">
                  <c:v>-1.6679299999999999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Chg_T_neg!$A$9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Chg_T_neg!$B$9:$U$9</c:f>
              <c:numCache>
                <c:formatCode>General</c:formatCode>
                <c:ptCount val="20"/>
                <c:pt idx="0">
                  <c:v>-52.859670000000001</c:v>
                </c:pt>
                <c:pt idx="1">
                  <c:v>-34.435009999999998</c:v>
                </c:pt>
                <c:pt idx="2">
                  <c:v>-20.51707</c:v>
                </c:pt>
                <c:pt idx="3">
                  <c:v>-13.981529999999999</c:v>
                </c:pt>
                <c:pt idx="4">
                  <c:v>-10.321210000000001</c:v>
                </c:pt>
                <c:pt idx="5">
                  <c:v>-8.0824099999999994</c:v>
                </c:pt>
                <c:pt idx="6">
                  <c:v>-6.4927229999999998</c:v>
                </c:pt>
                <c:pt idx="7">
                  <c:v>-5.4222900000000003</c:v>
                </c:pt>
                <c:pt idx="8">
                  <c:v>-4.6406720000000004</c:v>
                </c:pt>
                <c:pt idx="9">
                  <c:v>-4.0074389999999998</c:v>
                </c:pt>
                <c:pt idx="10">
                  <c:v>-3.6054740000000001</c:v>
                </c:pt>
                <c:pt idx="11">
                  <c:v>-3.1430380000000002</c:v>
                </c:pt>
                <c:pt idx="12">
                  <c:v>-2.8079000000000001</c:v>
                </c:pt>
                <c:pt idx="13">
                  <c:v>-2.5528680000000001</c:v>
                </c:pt>
                <c:pt idx="14">
                  <c:v>-2.378139</c:v>
                </c:pt>
                <c:pt idx="15">
                  <c:v>-2.244605</c:v>
                </c:pt>
                <c:pt idx="16">
                  <c:v>-2.096848</c:v>
                </c:pt>
                <c:pt idx="17">
                  <c:v>-1.9462269999999999</c:v>
                </c:pt>
                <c:pt idx="18">
                  <c:v>-1.8296669999999999</c:v>
                </c:pt>
                <c:pt idx="19">
                  <c:v>-1.738526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Chg_T_neg!$A$10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Chg_T_neg!$B$10:$U$10</c:f>
              <c:numCache>
                <c:formatCode>General</c:formatCode>
                <c:ptCount val="20"/>
                <c:pt idx="0">
                  <c:v>-52.366070000000001</c:v>
                </c:pt>
                <c:pt idx="1">
                  <c:v>-33.635939999999998</c:v>
                </c:pt>
                <c:pt idx="2">
                  <c:v>-19.802520000000001</c:v>
                </c:pt>
                <c:pt idx="3">
                  <c:v>-13.20712</c:v>
                </c:pt>
                <c:pt idx="4">
                  <c:v>-9.7572670000000006</c:v>
                </c:pt>
                <c:pt idx="5">
                  <c:v>-7.5000660000000003</c:v>
                </c:pt>
                <c:pt idx="6">
                  <c:v>-5.9826280000000001</c:v>
                </c:pt>
                <c:pt idx="7">
                  <c:v>-4.955921</c:v>
                </c:pt>
                <c:pt idx="8">
                  <c:v>-4.2675890000000001</c:v>
                </c:pt>
                <c:pt idx="9">
                  <c:v>-3.6744219999999999</c:v>
                </c:pt>
                <c:pt idx="10">
                  <c:v>-3.3062450000000001</c:v>
                </c:pt>
                <c:pt idx="11">
                  <c:v>-2.9612889999999998</c:v>
                </c:pt>
                <c:pt idx="12">
                  <c:v>-2.6949390000000002</c:v>
                </c:pt>
                <c:pt idx="13">
                  <c:v>-2.4728059999999998</c:v>
                </c:pt>
                <c:pt idx="14">
                  <c:v>-2.2665630000000001</c:v>
                </c:pt>
                <c:pt idx="15">
                  <c:v>-2.1171959999999999</c:v>
                </c:pt>
                <c:pt idx="16">
                  <c:v>-1.9798990000000001</c:v>
                </c:pt>
                <c:pt idx="17">
                  <c:v>-1.8471569999999999</c:v>
                </c:pt>
                <c:pt idx="18">
                  <c:v>-1.739422</c:v>
                </c:pt>
                <c:pt idx="19">
                  <c:v>-1.6302570000000001</c:v>
                </c:pt>
              </c:numCache>
            </c:numRef>
          </c:yVal>
          <c:smooth val="1"/>
        </c:ser>
        <c:axId val="66810624"/>
        <c:axId val="66812544"/>
      </c:scatterChart>
      <c:valAx>
        <c:axId val="6681062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12544"/>
        <c:crosses val="autoZero"/>
        <c:crossBetween val="midCat"/>
      </c:valAx>
      <c:valAx>
        <c:axId val="66812544"/>
        <c:scaling>
          <c:orientation val="minMax"/>
        </c:scaling>
        <c:axPos val="l"/>
        <c:numFmt formatCode="General" sourceLinked="1"/>
        <c:tickLblPos val="nextTo"/>
        <c:crossAx val="66810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403463180963E-2"/>
          <c:w val="0.15000025581597631"/>
          <c:h val="0.8368084682484000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Chg_neg_A!$A$3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Chg_neg_A!$B$3:$U$3</c:f>
              <c:numCache>
                <c:formatCode>General</c:formatCode>
                <c:ptCount val="20"/>
                <c:pt idx="0">
                  <c:v>7066.8419999999996</c:v>
                </c:pt>
                <c:pt idx="1">
                  <c:v>4501.9520000000002</c:v>
                </c:pt>
                <c:pt idx="2">
                  <c:v>2550.154</c:v>
                </c:pt>
                <c:pt idx="3">
                  <c:v>1672.9369999999999</c:v>
                </c:pt>
                <c:pt idx="4">
                  <c:v>1209.739</c:v>
                </c:pt>
                <c:pt idx="5">
                  <c:v>935.04510000000005</c:v>
                </c:pt>
                <c:pt idx="6">
                  <c:v>758.80089999999996</c:v>
                </c:pt>
                <c:pt idx="7">
                  <c:v>633.54110000000003</c:v>
                </c:pt>
                <c:pt idx="8">
                  <c:v>542.38120000000004</c:v>
                </c:pt>
                <c:pt idx="9">
                  <c:v>477.97859999999997</c:v>
                </c:pt>
                <c:pt idx="10">
                  <c:v>428.15269999999998</c:v>
                </c:pt>
                <c:pt idx="11">
                  <c:v>381.7645</c:v>
                </c:pt>
                <c:pt idx="12">
                  <c:v>347.98320000000001</c:v>
                </c:pt>
                <c:pt idx="13">
                  <c:v>321.42009999999999</c:v>
                </c:pt>
                <c:pt idx="14">
                  <c:v>294.36770000000001</c:v>
                </c:pt>
                <c:pt idx="15">
                  <c:v>275.06400000000002</c:v>
                </c:pt>
                <c:pt idx="16">
                  <c:v>259.74459999999999</c:v>
                </c:pt>
                <c:pt idx="17">
                  <c:v>244.29349999999999</c:v>
                </c:pt>
                <c:pt idx="18">
                  <c:v>227.30420000000001</c:v>
                </c:pt>
                <c:pt idx="19">
                  <c:v>216.71559999999999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Chg_neg_A!$A$4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Chg_neg_A!$B$4:$U$4</c:f>
              <c:numCache>
                <c:formatCode>General</c:formatCode>
                <c:ptCount val="20"/>
                <c:pt idx="0">
                  <c:v>7096.92</c:v>
                </c:pt>
                <c:pt idx="1">
                  <c:v>4519.7370000000001</c:v>
                </c:pt>
                <c:pt idx="2">
                  <c:v>2568.8939999999998</c:v>
                </c:pt>
                <c:pt idx="3">
                  <c:v>1673.2539999999999</c:v>
                </c:pt>
                <c:pt idx="4">
                  <c:v>1212.473</c:v>
                </c:pt>
                <c:pt idx="5">
                  <c:v>939.83389999999997</c:v>
                </c:pt>
                <c:pt idx="6">
                  <c:v>758.11540000000002</c:v>
                </c:pt>
                <c:pt idx="7">
                  <c:v>637.99580000000003</c:v>
                </c:pt>
                <c:pt idx="8">
                  <c:v>551.22389999999996</c:v>
                </c:pt>
                <c:pt idx="9">
                  <c:v>483.91930000000002</c:v>
                </c:pt>
                <c:pt idx="10">
                  <c:v>429.44380000000001</c:v>
                </c:pt>
                <c:pt idx="11">
                  <c:v>386.0582</c:v>
                </c:pt>
                <c:pt idx="12">
                  <c:v>350.97460000000001</c:v>
                </c:pt>
                <c:pt idx="13">
                  <c:v>325.58620000000002</c:v>
                </c:pt>
                <c:pt idx="14">
                  <c:v>303.27960000000002</c:v>
                </c:pt>
                <c:pt idx="15">
                  <c:v>281.75380000000001</c:v>
                </c:pt>
                <c:pt idx="16">
                  <c:v>264.4237</c:v>
                </c:pt>
                <c:pt idx="17">
                  <c:v>250.6026</c:v>
                </c:pt>
                <c:pt idx="18">
                  <c:v>230.68100000000001</c:v>
                </c:pt>
                <c:pt idx="19">
                  <c:v>216.96559999999999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Chg_neg_A!$A$5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Chg_neg_A!$B$5:$U$5</c:f>
              <c:numCache>
                <c:formatCode>General</c:formatCode>
                <c:ptCount val="20"/>
                <c:pt idx="0">
                  <c:v>6994.9849999999997</c:v>
                </c:pt>
                <c:pt idx="1">
                  <c:v>4479.0140000000001</c:v>
                </c:pt>
                <c:pt idx="2">
                  <c:v>2583.4699999999998</c:v>
                </c:pt>
                <c:pt idx="3">
                  <c:v>1699.701</c:v>
                </c:pt>
                <c:pt idx="4">
                  <c:v>1231.3530000000001</c:v>
                </c:pt>
                <c:pt idx="5">
                  <c:v>960.97230000000002</c:v>
                </c:pt>
                <c:pt idx="6">
                  <c:v>783.49270000000001</c:v>
                </c:pt>
                <c:pt idx="7">
                  <c:v>654.14509999999996</c:v>
                </c:pt>
                <c:pt idx="8">
                  <c:v>560.12869999999998</c:v>
                </c:pt>
                <c:pt idx="9">
                  <c:v>486.95479999999998</c:v>
                </c:pt>
                <c:pt idx="10">
                  <c:v>427.82459999999998</c:v>
                </c:pt>
                <c:pt idx="11">
                  <c:v>390.63929999999999</c:v>
                </c:pt>
                <c:pt idx="12">
                  <c:v>354.76479999999998</c:v>
                </c:pt>
                <c:pt idx="13">
                  <c:v>324.99919999999997</c:v>
                </c:pt>
                <c:pt idx="14">
                  <c:v>300.35050000000001</c:v>
                </c:pt>
                <c:pt idx="15">
                  <c:v>281.149</c:v>
                </c:pt>
                <c:pt idx="16">
                  <c:v>260.43860000000001</c:v>
                </c:pt>
                <c:pt idx="17">
                  <c:v>246.2987</c:v>
                </c:pt>
                <c:pt idx="18">
                  <c:v>231.4641</c:v>
                </c:pt>
                <c:pt idx="19">
                  <c:v>219.02850000000001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Chg_neg_A!$A$6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Chg_neg_A!$B$6:$U$6</c:f>
              <c:numCache>
                <c:formatCode>General</c:formatCode>
                <c:ptCount val="20"/>
                <c:pt idx="0">
                  <c:v>7081.0159999999996</c:v>
                </c:pt>
                <c:pt idx="1">
                  <c:v>4527.1319999999996</c:v>
                </c:pt>
                <c:pt idx="2">
                  <c:v>2560.3020000000001</c:v>
                </c:pt>
                <c:pt idx="3">
                  <c:v>1672.2819999999999</c:v>
                </c:pt>
                <c:pt idx="4">
                  <c:v>1216.373</c:v>
                </c:pt>
                <c:pt idx="5">
                  <c:v>942.02250000000004</c:v>
                </c:pt>
                <c:pt idx="6">
                  <c:v>761.11310000000003</c:v>
                </c:pt>
                <c:pt idx="7">
                  <c:v>641.7106</c:v>
                </c:pt>
                <c:pt idx="8">
                  <c:v>549.5462</c:v>
                </c:pt>
                <c:pt idx="9">
                  <c:v>478.94510000000002</c:v>
                </c:pt>
                <c:pt idx="10">
                  <c:v>428.2174</c:v>
                </c:pt>
                <c:pt idx="11">
                  <c:v>384.2106</c:v>
                </c:pt>
                <c:pt idx="12">
                  <c:v>349.89049999999997</c:v>
                </c:pt>
                <c:pt idx="13">
                  <c:v>319.64499999999998</c:v>
                </c:pt>
                <c:pt idx="14">
                  <c:v>296.73090000000002</c:v>
                </c:pt>
                <c:pt idx="15">
                  <c:v>276.24509999999998</c:v>
                </c:pt>
                <c:pt idx="16">
                  <c:v>256.70260000000002</c:v>
                </c:pt>
                <c:pt idx="17">
                  <c:v>243.50049999999999</c:v>
                </c:pt>
                <c:pt idx="18">
                  <c:v>224.65520000000001</c:v>
                </c:pt>
                <c:pt idx="19">
                  <c:v>214.06379999999999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Chg_neg_A!$A$7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Chg_neg_A!$B$7:$U$7</c:f>
              <c:numCache>
                <c:formatCode>General</c:formatCode>
                <c:ptCount val="20"/>
                <c:pt idx="0">
                  <c:v>6985.5770000000002</c:v>
                </c:pt>
                <c:pt idx="1">
                  <c:v>4492.4750000000004</c:v>
                </c:pt>
                <c:pt idx="2">
                  <c:v>2564.498</c:v>
                </c:pt>
                <c:pt idx="3">
                  <c:v>1726.366</c:v>
                </c:pt>
                <c:pt idx="4">
                  <c:v>1259.9010000000001</c:v>
                </c:pt>
                <c:pt idx="5">
                  <c:v>967.654</c:v>
                </c:pt>
                <c:pt idx="6">
                  <c:v>778.89409999999998</c:v>
                </c:pt>
                <c:pt idx="7">
                  <c:v>650.6087</c:v>
                </c:pt>
                <c:pt idx="8">
                  <c:v>563.1019</c:v>
                </c:pt>
                <c:pt idx="9">
                  <c:v>493.01350000000002</c:v>
                </c:pt>
                <c:pt idx="10">
                  <c:v>436.30810000000002</c:v>
                </c:pt>
                <c:pt idx="11">
                  <c:v>393.82339999999999</c:v>
                </c:pt>
                <c:pt idx="12">
                  <c:v>360.66340000000002</c:v>
                </c:pt>
                <c:pt idx="13">
                  <c:v>331.06130000000002</c:v>
                </c:pt>
                <c:pt idx="14">
                  <c:v>308.08670000000001</c:v>
                </c:pt>
                <c:pt idx="15">
                  <c:v>288.9042</c:v>
                </c:pt>
                <c:pt idx="16">
                  <c:v>268.54700000000003</c:v>
                </c:pt>
                <c:pt idx="17">
                  <c:v>252.99700000000001</c:v>
                </c:pt>
                <c:pt idx="18">
                  <c:v>236.898</c:v>
                </c:pt>
                <c:pt idx="19">
                  <c:v>225.99860000000001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Chg_neg_A!$A$8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Chg_neg_A!$B$8:$U$8</c:f>
              <c:numCache>
                <c:formatCode>General</c:formatCode>
                <c:ptCount val="20"/>
                <c:pt idx="0">
                  <c:v>7065.1419999999998</c:v>
                </c:pt>
                <c:pt idx="1">
                  <c:v>4525.8090000000002</c:v>
                </c:pt>
                <c:pt idx="2">
                  <c:v>2568.0610000000001</c:v>
                </c:pt>
                <c:pt idx="3">
                  <c:v>1672.415</c:v>
                </c:pt>
                <c:pt idx="4">
                  <c:v>1216.4949999999999</c:v>
                </c:pt>
                <c:pt idx="5">
                  <c:v>941.89469999999994</c:v>
                </c:pt>
                <c:pt idx="6">
                  <c:v>760.53489999999999</c:v>
                </c:pt>
                <c:pt idx="7">
                  <c:v>639.25900000000001</c:v>
                </c:pt>
                <c:pt idx="8">
                  <c:v>550.94169999999997</c:v>
                </c:pt>
                <c:pt idx="9">
                  <c:v>477.63080000000002</c:v>
                </c:pt>
                <c:pt idx="10">
                  <c:v>420.60270000000003</c:v>
                </c:pt>
                <c:pt idx="11">
                  <c:v>379.45330000000001</c:v>
                </c:pt>
                <c:pt idx="12">
                  <c:v>345.98160000000001</c:v>
                </c:pt>
                <c:pt idx="13">
                  <c:v>321.23970000000003</c:v>
                </c:pt>
                <c:pt idx="14">
                  <c:v>296.58179999999999</c:v>
                </c:pt>
                <c:pt idx="15">
                  <c:v>277.21010000000001</c:v>
                </c:pt>
                <c:pt idx="16">
                  <c:v>257.37090000000001</c:v>
                </c:pt>
                <c:pt idx="17">
                  <c:v>242.40469999999999</c:v>
                </c:pt>
                <c:pt idx="18">
                  <c:v>223.9701</c:v>
                </c:pt>
                <c:pt idx="19">
                  <c:v>211.57859999999999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Chg_neg_A!$A$9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Chg_neg_A!$B$9:$U$9</c:f>
              <c:numCache>
                <c:formatCode>General</c:formatCode>
                <c:ptCount val="20"/>
                <c:pt idx="0">
                  <c:v>6929.25</c:v>
                </c:pt>
                <c:pt idx="1">
                  <c:v>4446.5230000000001</c:v>
                </c:pt>
                <c:pt idx="2">
                  <c:v>2541.1129999999998</c:v>
                </c:pt>
                <c:pt idx="3">
                  <c:v>1704.76</c:v>
                </c:pt>
                <c:pt idx="4">
                  <c:v>1238.336</c:v>
                </c:pt>
                <c:pt idx="5">
                  <c:v>963.67629999999997</c:v>
                </c:pt>
                <c:pt idx="6">
                  <c:v>778.89940000000001</c:v>
                </c:pt>
                <c:pt idx="7">
                  <c:v>650.5548</c:v>
                </c:pt>
                <c:pt idx="8">
                  <c:v>565.54369999999994</c:v>
                </c:pt>
                <c:pt idx="9">
                  <c:v>491.99849999999998</c:v>
                </c:pt>
                <c:pt idx="10">
                  <c:v>443.2801</c:v>
                </c:pt>
                <c:pt idx="11">
                  <c:v>392.72829999999999</c:v>
                </c:pt>
                <c:pt idx="12">
                  <c:v>353.69479999999999</c:v>
                </c:pt>
                <c:pt idx="13">
                  <c:v>325.96730000000002</c:v>
                </c:pt>
                <c:pt idx="14">
                  <c:v>301.97570000000002</c:v>
                </c:pt>
                <c:pt idx="15">
                  <c:v>287.666</c:v>
                </c:pt>
                <c:pt idx="16">
                  <c:v>267.00569999999999</c:v>
                </c:pt>
                <c:pt idx="17">
                  <c:v>249.81790000000001</c:v>
                </c:pt>
                <c:pt idx="18">
                  <c:v>235.44290000000001</c:v>
                </c:pt>
                <c:pt idx="19">
                  <c:v>223.57859999999999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Chg_neg_A!$A$10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Chg_neg_A!$B$10:$U$10</c:f>
              <c:numCache>
                <c:formatCode>General</c:formatCode>
                <c:ptCount val="20"/>
                <c:pt idx="0">
                  <c:v>6970.317</c:v>
                </c:pt>
                <c:pt idx="1">
                  <c:v>4468.7129999999997</c:v>
                </c:pt>
                <c:pt idx="2">
                  <c:v>2554.0949999999998</c:v>
                </c:pt>
                <c:pt idx="3">
                  <c:v>1690.329</c:v>
                </c:pt>
                <c:pt idx="4">
                  <c:v>1242.2429999999999</c:v>
                </c:pt>
                <c:pt idx="5">
                  <c:v>957.28150000000005</c:v>
                </c:pt>
                <c:pt idx="6">
                  <c:v>771.66790000000003</c:v>
                </c:pt>
                <c:pt idx="7">
                  <c:v>649.07479999999998</c:v>
                </c:pt>
                <c:pt idx="8">
                  <c:v>560.08500000000004</c:v>
                </c:pt>
                <c:pt idx="9">
                  <c:v>483.62240000000003</c:v>
                </c:pt>
                <c:pt idx="10">
                  <c:v>430.71390000000002</c:v>
                </c:pt>
                <c:pt idx="11">
                  <c:v>385.55709999999999</c:v>
                </c:pt>
                <c:pt idx="12">
                  <c:v>353.05040000000002</c:v>
                </c:pt>
                <c:pt idx="13">
                  <c:v>322.76479999999998</c:v>
                </c:pt>
                <c:pt idx="14">
                  <c:v>297.18349999999998</c:v>
                </c:pt>
                <c:pt idx="15">
                  <c:v>277.70940000000002</c:v>
                </c:pt>
                <c:pt idx="16">
                  <c:v>260.49489999999997</c:v>
                </c:pt>
                <c:pt idx="17">
                  <c:v>245.30690000000001</c:v>
                </c:pt>
                <c:pt idx="18">
                  <c:v>231.43109999999999</c:v>
                </c:pt>
                <c:pt idx="19">
                  <c:v>219.1216</c:v>
                </c:pt>
              </c:numCache>
            </c:numRef>
          </c:yVal>
          <c:smooth val="1"/>
        </c:ser>
        <c:axId val="67149184"/>
        <c:axId val="67163648"/>
      </c:scatterChart>
      <c:valAx>
        <c:axId val="6714918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163648"/>
        <c:crosses val="autoZero"/>
        <c:crossBetween val="midCat"/>
      </c:valAx>
      <c:valAx>
        <c:axId val="67163648"/>
        <c:scaling>
          <c:orientation val="minMax"/>
        </c:scaling>
        <c:axPos val="l"/>
        <c:numFmt formatCode="General" sourceLinked="1"/>
        <c:tickLblPos val="nextTo"/>
        <c:crossAx val="67149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355565848391E-2"/>
          <c:w val="0.15000025581597631"/>
          <c:h val="0.836808398950131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'Chg_T_neg_den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'!$B$3:$U$3</c:f>
              <c:numCache>
                <c:formatCode>General</c:formatCode>
                <c:ptCount val="20"/>
                <c:pt idx="0">
                  <c:v>-7.4898306768426412E-3</c:v>
                </c:pt>
                <c:pt idx="1">
                  <c:v>-7.526599572807529E-3</c:v>
                </c:pt>
                <c:pt idx="2">
                  <c:v>-7.9022129643935221E-3</c:v>
                </c:pt>
                <c:pt idx="3">
                  <c:v>-8.0678292129350952E-3</c:v>
                </c:pt>
                <c:pt idx="4">
                  <c:v>-8.1864922929656726E-3</c:v>
                </c:pt>
                <c:pt idx="5">
                  <c:v>-8.1205494793780524E-3</c:v>
                </c:pt>
                <c:pt idx="6">
                  <c:v>-8.1247307429392884E-3</c:v>
                </c:pt>
                <c:pt idx="7">
                  <c:v>-8.1415712413922311E-3</c:v>
                </c:pt>
                <c:pt idx="8">
                  <c:v>-8.0827635618638694E-3</c:v>
                </c:pt>
                <c:pt idx="9">
                  <c:v>-8.1350378447905426E-3</c:v>
                </c:pt>
                <c:pt idx="10">
                  <c:v>-8.146107685412237E-3</c:v>
                </c:pt>
                <c:pt idx="11">
                  <c:v>-8.0337773679847128E-3</c:v>
                </c:pt>
                <c:pt idx="12">
                  <c:v>-8.0345143098862239E-3</c:v>
                </c:pt>
                <c:pt idx="13">
                  <c:v>-7.9833059600193015E-3</c:v>
                </c:pt>
                <c:pt idx="14">
                  <c:v>-7.9276055083489123E-3</c:v>
                </c:pt>
                <c:pt idx="15">
                  <c:v>-7.7697408603088734E-3</c:v>
                </c:pt>
                <c:pt idx="16">
                  <c:v>-7.7765197043557412E-3</c:v>
                </c:pt>
                <c:pt idx="17">
                  <c:v>-7.7382001567786298E-3</c:v>
                </c:pt>
                <c:pt idx="18">
                  <c:v>-7.8098028984946166E-3</c:v>
                </c:pt>
                <c:pt idx="19">
                  <c:v>-7.8339584229284824E-3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'Chg_T_neg_den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'!$B$4:$U$4</c:f>
              <c:numCache>
                <c:formatCode>General</c:formatCode>
                <c:ptCount val="20"/>
                <c:pt idx="0">
                  <c:v>-7.4734321367579178E-3</c:v>
                </c:pt>
                <c:pt idx="1">
                  <c:v>-7.5432884701034592E-3</c:v>
                </c:pt>
                <c:pt idx="2">
                  <c:v>-7.9115370272187183E-3</c:v>
                </c:pt>
                <c:pt idx="3">
                  <c:v>-8.0921366391474344E-3</c:v>
                </c:pt>
                <c:pt idx="4">
                  <c:v>-8.2142340489231511E-3</c:v>
                </c:pt>
                <c:pt idx="5">
                  <c:v>-8.0788445703011986E-3</c:v>
                </c:pt>
                <c:pt idx="6">
                  <c:v>-8.1640037915072031E-3</c:v>
                </c:pt>
                <c:pt idx="7">
                  <c:v>-8.1090251691312062E-3</c:v>
                </c:pt>
                <c:pt idx="8">
                  <c:v>-8.0644852300489882E-3</c:v>
                </c:pt>
                <c:pt idx="9">
                  <c:v>-7.9528012211953526E-3</c:v>
                </c:pt>
                <c:pt idx="10">
                  <c:v>-7.970649477300638E-3</c:v>
                </c:pt>
                <c:pt idx="11">
                  <c:v>-7.9356713573238442E-3</c:v>
                </c:pt>
                <c:pt idx="12">
                  <c:v>-8.0147623218318371E-3</c:v>
                </c:pt>
                <c:pt idx="13">
                  <c:v>-7.9768399274907833E-3</c:v>
                </c:pt>
                <c:pt idx="14">
                  <c:v>-7.9054971056411304E-3</c:v>
                </c:pt>
                <c:pt idx="15">
                  <c:v>-7.9568935716217478E-3</c:v>
                </c:pt>
                <c:pt idx="16">
                  <c:v>-7.9047188281534519E-3</c:v>
                </c:pt>
                <c:pt idx="17">
                  <c:v>-7.8795830530090268E-3</c:v>
                </c:pt>
                <c:pt idx="18">
                  <c:v>-7.9297514749806005E-3</c:v>
                </c:pt>
                <c:pt idx="19">
                  <c:v>-7.8286557869081553E-3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'Chg_T_neg_den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'!$B$5:$U$5</c:f>
              <c:numCache>
                <c:formatCode>General</c:formatCode>
                <c:ptCount val="20"/>
                <c:pt idx="0">
                  <c:v>-7.5742335401719953E-3</c:v>
                </c:pt>
                <c:pt idx="1">
                  <c:v>-7.6526507843020812E-3</c:v>
                </c:pt>
                <c:pt idx="2">
                  <c:v>-7.9096138139788733E-3</c:v>
                </c:pt>
                <c:pt idx="3">
                  <c:v>-8.0749378861340905E-3</c:v>
                </c:pt>
                <c:pt idx="4">
                  <c:v>-8.1774600784665329E-3</c:v>
                </c:pt>
                <c:pt idx="5">
                  <c:v>-8.2346046811130769E-3</c:v>
                </c:pt>
                <c:pt idx="6">
                  <c:v>-8.2100356518956703E-3</c:v>
                </c:pt>
                <c:pt idx="7">
                  <c:v>-8.2256551337004605E-3</c:v>
                </c:pt>
                <c:pt idx="8">
                  <c:v>-8.0917207063305272E-3</c:v>
                </c:pt>
                <c:pt idx="9">
                  <c:v>-8.0264102540933985E-3</c:v>
                </c:pt>
                <c:pt idx="10">
                  <c:v>-7.9243970543068348E-3</c:v>
                </c:pt>
                <c:pt idx="11">
                  <c:v>-7.9578577987417052E-3</c:v>
                </c:pt>
                <c:pt idx="12">
                  <c:v>-7.9370980435488521E-3</c:v>
                </c:pt>
                <c:pt idx="13">
                  <c:v>-7.9021056051830282E-3</c:v>
                </c:pt>
                <c:pt idx="14">
                  <c:v>-7.8790945911526699E-3</c:v>
                </c:pt>
                <c:pt idx="15">
                  <c:v>-7.8781108949347155E-3</c:v>
                </c:pt>
                <c:pt idx="16">
                  <c:v>-7.8801951784412908E-3</c:v>
                </c:pt>
                <c:pt idx="17">
                  <c:v>-7.8112673757514762E-3</c:v>
                </c:pt>
                <c:pt idx="18">
                  <c:v>-7.805931891813893E-3</c:v>
                </c:pt>
                <c:pt idx="19">
                  <c:v>-7.7511374090586376E-3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'Chg_T_neg_den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'!$B$6:$U$6</c:f>
              <c:numCache>
                <c:formatCode>General</c:formatCode>
                <c:ptCount val="20"/>
                <c:pt idx="0">
                  <c:v>-7.5226309331881194E-3</c:v>
                </c:pt>
                <c:pt idx="1">
                  <c:v>-7.6076354742914505E-3</c:v>
                </c:pt>
                <c:pt idx="2">
                  <c:v>-7.9932133006184423E-3</c:v>
                </c:pt>
                <c:pt idx="3">
                  <c:v>-8.1399548640719681E-3</c:v>
                </c:pt>
                <c:pt idx="4">
                  <c:v>-8.2101353778816204E-3</c:v>
                </c:pt>
                <c:pt idx="5">
                  <c:v>-8.169204026443104E-3</c:v>
                </c:pt>
                <c:pt idx="6">
                  <c:v>-8.1772748360263402E-3</c:v>
                </c:pt>
                <c:pt idx="7">
                  <c:v>-8.2295555036803192E-3</c:v>
                </c:pt>
                <c:pt idx="8">
                  <c:v>-8.1933566277048227E-3</c:v>
                </c:pt>
                <c:pt idx="9">
                  <c:v>-8.1528321304466835E-3</c:v>
                </c:pt>
                <c:pt idx="10">
                  <c:v>-8.1028094608019199E-3</c:v>
                </c:pt>
                <c:pt idx="11">
                  <c:v>-8.0888137911863962E-3</c:v>
                </c:pt>
                <c:pt idx="12">
                  <c:v>-8.0789389823387615E-3</c:v>
                </c:pt>
                <c:pt idx="13">
                  <c:v>-8.0478812432542342E-3</c:v>
                </c:pt>
                <c:pt idx="14">
                  <c:v>-7.9988332863210401E-3</c:v>
                </c:pt>
                <c:pt idx="15">
                  <c:v>-7.9076226148445724E-3</c:v>
                </c:pt>
                <c:pt idx="16">
                  <c:v>-7.7401008014722087E-3</c:v>
                </c:pt>
                <c:pt idx="17">
                  <c:v>-7.7541319217003662E-3</c:v>
                </c:pt>
                <c:pt idx="18">
                  <c:v>-7.9024834501938961E-3</c:v>
                </c:pt>
                <c:pt idx="19">
                  <c:v>-7.8421526666348999E-3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'Chg_T_neg_den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'!$B$7:$U$7</c:f>
              <c:numCache>
                <c:formatCode>General</c:formatCode>
                <c:ptCount val="20"/>
                <c:pt idx="0">
                  <c:v>-7.5192070748057033E-3</c:v>
                </c:pt>
                <c:pt idx="1">
                  <c:v>-7.5613197624917212E-3</c:v>
                </c:pt>
                <c:pt idx="2">
                  <c:v>-7.7588284334789894E-3</c:v>
                </c:pt>
                <c:pt idx="3">
                  <c:v>-7.7632321303825486E-3</c:v>
                </c:pt>
                <c:pt idx="4">
                  <c:v>-7.8611533763367127E-3</c:v>
                </c:pt>
                <c:pt idx="5">
                  <c:v>-7.8001062363200072E-3</c:v>
                </c:pt>
                <c:pt idx="6">
                  <c:v>-7.6897064697241902E-3</c:v>
                </c:pt>
                <c:pt idx="7">
                  <c:v>-7.6815219347666263E-3</c:v>
                </c:pt>
                <c:pt idx="8">
                  <c:v>-7.6871788214530976E-3</c:v>
                </c:pt>
                <c:pt idx="9">
                  <c:v>-7.6668894462322019E-3</c:v>
                </c:pt>
                <c:pt idx="10">
                  <c:v>-7.6290492887938583E-3</c:v>
                </c:pt>
                <c:pt idx="11">
                  <c:v>-7.6153016809057056E-3</c:v>
                </c:pt>
                <c:pt idx="12">
                  <c:v>-7.5771841556420754E-3</c:v>
                </c:pt>
                <c:pt idx="13">
                  <c:v>-7.5479103114740381E-3</c:v>
                </c:pt>
                <c:pt idx="14">
                  <c:v>-7.6243018604827805E-3</c:v>
                </c:pt>
                <c:pt idx="15">
                  <c:v>-7.6107858591186973E-3</c:v>
                </c:pt>
                <c:pt idx="16">
                  <c:v>-7.4693033249300864E-3</c:v>
                </c:pt>
                <c:pt idx="17">
                  <c:v>-7.4386889963122087E-3</c:v>
                </c:pt>
                <c:pt idx="18">
                  <c:v>-7.4382856756916487E-3</c:v>
                </c:pt>
                <c:pt idx="19">
                  <c:v>-7.4376788174794007E-3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'Chg_T_neg_den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'!$B$8:$U$8</c:f>
              <c:numCache>
                <c:formatCode>General</c:formatCode>
                <c:ptCount val="20"/>
                <c:pt idx="0">
                  <c:v>-7.528209624095312E-3</c:v>
                </c:pt>
                <c:pt idx="1">
                  <c:v>-7.6006389133964772E-3</c:v>
                </c:pt>
                <c:pt idx="2">
                  <c:v>-7.9456251233907607E-3</c:v>
                </c:pt>
                <c:pt idx="3">
                  <c:v>-8.1041727083289734E-3</c:v>
                </c:pt>
                <c:pt idx="4">
                  <c:v>-8.2196277008947851E-3</c:v>
                </c:pt>
                <c:pt idx="5">
                  <c:v>-8.1653766604695838E-3</c:v>
                </c:pt>
                <c:pt idx="6">
                  <c:v>-8.1093793328879445E-3</c:v>
                </c:pt>
                <c:pt idx="7">
                  <c:v>-8.1959784688209313E-3</c:v>
                </c:pt>
                <c:pt idx="8">
                  <c:v>-8.0857393804099429E-3</c:v>
                </c:pt>
                <c:pt idx="9">
                  <c:v>-8.1219615652926899E-3</c:v>
                </c:pt>
                <c:pt idx="10">
                  <c:v>-8.1349667988341486E-3</c:v>
                </c:pt>
                <c:pt idx="11">
                  <c:v>-8.0556737812004786E-3</c:v>
                </c:pt>
                <c:pt idx="12">
                  <c:v>-7.9991681638561119E-3</c:v>
                </c:pt>
                <c:pt idx="13">
                  <c:v>-8.0665714729530619E-3</c:v>
                </c:pt>
                <c:pt idx="14">
                  <c:v>-8.0458612092852624E-3</c:v>
                </c:pt>
                <c:pt idx="15">
                  <c:v>-8.0440539504152263E-3</c:v>
                </c:pt>
                <c:pt idx="16">
                  <c:v>-7.9876629409152307E-3</c:v>
                </c:pt>
                <c:pt idx="17">
                  <c:v>-7.9429441755873558E-3</c:v>
                </c:pt>
                <c:pt idx="18">
                  <c:v>-7.9831638240997344E-3</c:v>
                </c:pt>
                <c:pt idx="19">
                  <c:v>-7.8832641864536399E-3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'Chg_T_neg_den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'!$B$9:$U$9</c:f>
              <c:numCache>
                <c:formatCode>General</c:formatCode>
                <c:ptCount val="20"/>
                <c:pt idx="0">
                  <c:v>-7.6284836021214423E-3</c:v>
                </c:pt>
                <c:pt idx="1">
                  <c:v>-7.7442554553299276E-3</c:v>
                </c:pt>
                <c:pt idx="2">
                  <c:v>-8.0740486550578434E-3</c:v>
                </c:pt>
                <c:pt idx="3">
                  <c:v>-8.2014653088997858E-3</c:v>
                </c:pt>
                <c:pt idx="4">
                  <c:v>-8.3347411364928427E-3</c:v>
                </c:pt>
                <c:pt idx="5">
                  <c:v>-8.387059015563629E-3</c:v>
                </c:pt>
                <c:pt idx="6">
                  <c:v>-8.3357658254711708E-3</c:v>
                </c:pt>
                <c:pt idx="7">
                  <c:v>-8.3348704828555571E-3</c:v>
                </c:pt>
                <c:pt idx="8">
                  <c:v>-8.2056824256021253E-3</c:v>
                </c:pt>
                <c:pt idx="9">
                  <c:v>-8.1452260525184533E-3</c:v>
                </c:pt>
                <c:pt idx="10">
                  <c:v>-8.1336247668235048E-3</c:v>
                </c:pt>
                <c:pt idx="11">
                  <c:v>-8.0030850845228124E-3</c:v>
                </c:pt>
                <c:pt idx="12">
                  <c:v>-7.9387652857774559E-3</c:v>
                </c:pt>
                <c:pt idx="13">
                  <c:v>-7.8316690048357614E-3</c:v>
                </c:pt>
                <c:pt idx="14">
                  <c:v>-7.8752661224065369E-3</c:v>
                </c:pt>
                <c:pt idx="15">
                  <c:v>-7.8028164607565715E-3</c:v>
                </c:pt>
                <c:pt idx="16">
                  <c:v>-7.8531956433888876E-3</c:v>
                </c:pt>
                <c:pt idx="17">
                  <c:v>-7.7905826604098422E-3</c:v>
                </c:pt>
                <c:pt idx="18">
                  <c:v>-7.7711708443958171E-3</c:v>
                </c:pt>
                <c:pt idx="19">
                  <c:v>-7.7759052073856803E-3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'Chg_T_neg_den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'!$B$10:$U$10</c:f>
              <c:numCache>
                <c:formatCode>General</c:formatCode>
                <c:ptCount val="20"/>
                <c:pt idx="0">
                  <c:v>-7.512724313686164E-3</c:v>
                </c:pt>
                <c:pt idx="1">
                  <c:v>-7.5269859577019151E-3</c:v>
                </c:pt>
                <c:pt idx="2">
                  <c:v>-7.7532433210197749E-3</c:v>
                </c:pt>
                <c:pt idx="3">
                  <c:v>-7.813342846274305E-3</c:v>
                </c:pt>
                <c:pt idx="4">
                  <c:v>-7.8545558316690054E-3</c:v>
                </c:pt>
                <c:pt idx="5">
                  <c:v>-7.83475498064049E-3</c:v>
                </c:pt>
                <c:pt idx="6">
                  <c:v>-7.7528532675779308E-3</c:v>
                </c:pt>
                <c:pt idx="7">
                  <c:v>-7.6353619028192128E-3</c:v>
                </c:pt>
                <c:pt idx="8">
                  <c:v>-7.6195381058232229E-3</c:v>
                </c:pt>
                <c:pt idx="9">
                  <c:v>-7.5977084601540372E-3</c:v>
                </c:pt>
                <c:pt idx="10">
                  <c:v>-7.6761975873079549E-3</c:v>
                </c:pt>
                <c:pt idx="11">
                  <c:v>-7.6805458906086801E-3</c:v>
                </c:pt>
                <c:pt idx="12">
                  <c:v>-7.6332982486353226E-3</c:v>
                </c:pt>
                <c:pt idx="13">
                  <c:v>-7.661324902839467E-3</c:v>
                </c:pt>
                <c:pt idx="14">
                  <c:v>-7.6268130633093704E-3</c:v>
                </c:pt>
                <c:pt idx="15">
                  <c:v>-7.6237822702436425E-3</c:v>
                </c:pt>
                <c:pt idx="16">
                  <c:v>-7.6005288395281454E-3</c:v>
                </c:pt>
                <c:pt idx="17">
                  <c:v>-7.5299838691859052E-3</c:v>
                </c:pt>
                <c:pt idx="18">
                  <c:v>-7.5159388690629741E-3</c:v>
                </c:pt>
                <c:pt idx="19">
                  <c:v>-7.4399648414396396E-3</c:v>
                </c:pt>
              </c:numCache>
            </c:numRef>
          </c:yVal>
          <c:smooth val="1"/>
        </c:ser>
        <c:axId val="67180800"/>
        <c:axId val="67203456"/>
      </c:scatterChart>
      <c:valAx>
        <c:axId val="671808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03456"/>
        <c:crosses val="autoZero"/>
        <c:crossBetween val="midCat"/>
      </c:valAx>
      <c:valAx>
        <c:axId val="67203456"/>
        <c:scaling>
          <c:orientation val="minMax"/>
          <c:max val="0"/>
        </c:scaling>
        <c:axPos val="l"/>
        <c:numFmt formatCode="General" sourceLinked="1"/>
        <c:tickLblPos val="nextTo"/>
        <c:crossAx val="67180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845920006"/>
          <c:y val="7.9861552393670085E-2"/>
          <c:w val="0.15000015409032794"/>
          <c:h val="0.83680833755429773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Chg_S_neg_den!$A$3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Chg_S_neg_den!$B$3:$U$3</c:f>
              <c:numCache>
                <c:formatCode>General</c:formatCode>
                <c:ptCount val="20"/>
                <c:pt idx="0">
                  <c:v>-6.1656538410104463E-3</c:v>
                </c:pt>
                <c:pt idx="1">
                  <c:v>-6.0892024465790239E-3</c:v>
                </c:pt>
                <c:pt idx="2">
                  <c:v>-6.2252645802164828E-3</c:v>
                </c:pt>
                <c:pt idx="3">
                  <c:v>-6.2612617836726231E-3</c:v>
                </c:pt>
                <c:pt idx="4">
                  <c:v>-6.2490181800743559E-3</c:v>
                </c:pt>
                <c:pt idx="5">
                  <c:v>-6.130843234383389E-3</c:v>
                </c:pt>
                <c:pt idx="6">
                  <c:v>-6.0950212063391636E-3</c:v>
                </c:pt>
                <c:pt idx="7">
                  <c:v>-6.0516175871198419E-3</c:v>
                </c:pt>
                <c:pt idx="8">
                  <c:v>-5.9693280654369461E-3</c:v>
                </c:pt>
                <c:pt idx="9">
                  <c:v>-5.980201101832199E-3</c:v>
                </c:pt>
                <c:pt idx="10">
                  <c:v>-5.9830032779956072E-3</c:v>
                </c:pt>
                <c:pt idx="11">
                  <c:v>-5.8673520239804905E-3</c:v>
                </c:pt>
                <c:pt idx="12">
                  <c:v>-5.8752294719287739E-3</c:v>
                </c:pt>
                <c:pt idx="13">
                  <c:v>-5.8550593881245656E-3</c:v>
                </c:pt>
                <c:pt idx="14">
                  <c:v>-5.8184418920256536E-3</c:v>
                </c:pt>
                <c:pt idx="15">
                  <c:v>-5.7081320160573068E-3</c:v>
                </c:pt>
                <c:pt idx="16">
                  <c:v>-5.7180236261263184E-3</c:v>
                </c:pt>
                <c:pt idx="17">
                  <c:v>-5.6858340802589079E-3</c:v>
                </c:pt>
                <c:pt idx="18">
                  <c:v>-5.6840554521690456E-3</c:v>
                </c:pt>
                <c:pt idx="19">
                  <c:v>-5.659574340415658E-3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Chg_S_neg_den!$A$4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Chg_S_neg_den!$B$4:$U$4</c:f>
              <c:numCache>
                <c:formatCode>General</c:formatCode>
                <c:ptCount val="20"/>
                <c:pt idx="0">
                  <c:v>-6.1530586142310153E-3</c:v>
                </c:pt>
                <c:pt idx="1">
                  <c:v>-6.1137080756791425E-3</c:v>
                </c:pt>
                <c:pt idx="2">
                  <c:v>-6.2428717597127602E-3</c:v>
                </c:pt>
                <c:pt idx="3">
                  <c:v>-6.2827706145145634E-3</c:v>
                </c:pt>
                <c:pt idx="4">
                  <c:v>-6.2910020591988068E-3</c:v>
                </c:pt>
                <c:pt idx="5">
                  <c:v>-6.100792652795577E-3</c:v>
                </c:pt>
                <c:pt idx="6">
                  <c:v>-6.1436648630512954E-3</c:v>
                </c:pt>
                <c:pt idx="7">
                  <c:v>-6.0666032198404378E-3</c:v>
                </c:pt>
                <c:pt idx="8">
                  <c:v>-6.0107983344116801E-3</c:v>
                </c:pt>
                <c:pt idx="9">
                  <c:v>-5.8967203567345796E-3</c:v>
                </c:pt>
                <c:pt idx="10">
                  <c:v>-5.8935203311580517E-3</c:v>
                </c:pt>
                <c:pt idx="11">
                  <c:v>-5.8481988184222898E-3</c:v>
                </c:pt>
                <c:pt idx="12">
                  <c:v>-5.9014151758815898E-3</c:v>
                </c:pt>
                <c:pt idx="13">
                  <c:v>-5.8815247606592274E-3</c:v>
                </c:pt>
                <c:pt idx="14">
                  <c:v>-5.8233295467710871E-3</c:v>
                </c:pt>
                <c:pt idx="15">
                  <c:v>-5.8518202391486494E-3</c:v>
                </c:pt>
                <c:pt idx="16">
                  <c:v>-5.8027235832056531E-3</c:v>
                </c:pt>
                <c:pt idx="17">
                  <c:v>-5.7869044677974707E-3</c:v>
                </c:pt>
                <c:pt idx="18">
                  <c:v>-5.7769375118823614E-3</c:v>
                </c:pt>
                <c:pt idx="19">
                  <c:v>-5.6549140401289232E-3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Chg_S_neg_den!$A$5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Chg_S_neg_den!$B$5:$U$5</c:f>
              <c:numCache>
                <c:formatCode>General</c:formatCode>
                <c:ptCount val="20"/>
                <c:pt idx="0">
                  <c:v>-6.2948649616486182E-3</c:v>
                </c:pt>
                <c:pt idx="1">
                  <c:v>-6.2724959301270157E-3</c:v>
                </c:pt>
                <c:pt idx="2">
                  <c:v>-6.3132272758729784E-3</c:v>
                </c:pt>
                <c:pt idx="3">
                  <c:v>-6.342822548593717E-3</c:v>
                </c:pt>
                <c:pt idx="4">
                  <c:v>-6.3265558724276659E-3</c:v>
                </c:pt>
                <c:pt idx="5">
                  <c:v>-6.297416883723558E-3</c:v>
                </c:pt>
                <c:pt idx="6">
                  <c:v>-6.2521594603657492E-3</c:v>
                </c:pt>
                <c:pt idx="7">
                  <c:v>-6.2333214515623995E-3</c:v>
                </c:pt>
                <c:pt idx="8">
                  <c:v>-6.0946118736688558E-3</c:v>
                </c:pt>
                <c:pt idx="9">
                  <c:v>-6.03054820219877E-3</c:v>
                </c:pt>
                <c:pt idx="10">
                  <c:v>-5.9131521927007118E-3</c:v>
                </c:pt>
                <c:pt idx="11">
                  <c:v>-5.9429023689198633E-3</c:v>
                </c:pt>
                <c:pt idx="12">
                  <c:v>-5.906458312400927E-3</c:v>
                </c:pt>
                <c:pt idx="13">
                  <c:v>-5.8539682047616271E-3</c:v>
                </c:pt>
                <c:pt idx="14">
                  <c:v>-5.7921428204293522E-3</c:v>
                </c:pt>
                <c:pt idx="15">
                  <c:v>-5.7835282001844016E-3</c:v>
                </c:pt>
                <c:pt idx="16">
                  <c:v>-5.7618305505964373E-3</c:v>
                </c:pt>
                <c:pt idx="17">
                  <c:v>-5.7419544500852083E-3</c:v>
                </c:pt>
                <c:pt idx="18">
                  <c:v>-5.7085133574611736E-3</c:v>
                </c:pt>
                <c:pt idx="19">
                  <c:v>-5.6449036035254212E-3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Chg_S_neg_den!$A$6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Chg_S_neg_den!$B$6:$U$6</c:f>
              <c:numCache>
                <c:formatCode>General</c:formatCode>
                <c:ptCount val="20"/>
                <c:pt idx="0">
                  <c:v>-6.1976966265008381E-3</c:v>
                </c:pt>
                <c:pt idx="1">
                  <c:v>-6.161611300471664E-3</c:v>
                </c:pt>
                <c:pt idx="2">
                  <c:v>-6.2952327662764438E-3</c:v>
                </c:pt>
                <c:pt idx="3">
                  <c:v>-6.3157772637957394E-3</c:v>
                </c:pt>
                <c:pt idx="4">
                  <c:v>-6.2869615854349494E-3</c:v>
                </c:pt>
                <c:pt idx="5">
                  <c:v>-6.1889287960355203E-3</c:v>
                </c:pt>
                <c:pt idx="6">
                  <c:v>-6.1615744517396227E-3</c:v>
                </c:pt>
                <c:pt idx="7">
                  <c:v>-6.1653775706278736E-3</c:v>
                </c:pt>
                <c:pt idx="8">
                  <c:v>-6.0887036358905928E-3</c:v>
                </c:pt>
                <c:pt idx="9">
                  <c:v>-6.0142731129072726E-3</c:v>
                </c:pt>
                <c:pt idx="10">
                  <c:v>-5.9561866071442364E-3</c:v>
                </c:pt>
                <c:pt idx="11">
                  <c:v>-5.93562655955904E-3</c:v>
                </c:pt>
                <c:pt idx="12">
                  <c:v>-5.9299891626818655E-3</c:v>
                </c:pt>
                <c:pt idx="13">
                  <c:v>-5.8995469499099279E-3</c:v>
                </c:pt>
                <c:pt idx="14">
                  <c:v>-5.8558275389818835E-3</c:v>
                </c:pt>
                <c:pt idx="15">
                  <c:v>-5.8073678566083068E-3</c:v>
                </c:pt>
                <c:pt idx="16">
                  <c:v>-5.6788431863307896E-3</c:v>
                </c:pt>
                <c:pt idx="17">
                  <c:v>-5.6874602576464208E-3</c:v>
                </c:pt>
                <c:pt idx="18">
                  <c:v>-5.7227173635195274E-3</c:v>
                </c:pt>
                <c:pt idx="19">
                  <c:v>-5.6331785266068466E-3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Chg_S_neg_den!$A$7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Chg_S_neg_den!$B$7:$U$7</c:f>
              <c:numCache>
                <c:formatCode>General</c:formatCode>
                <c:ptCount val="20"/>
                <c:pt idx="0">
                  <c:v>-6.2409276580647471E-3</c:v>
                </c:pt>
                <c:pt idx="1">
                  <c:v>-6.1893262171379762E-3</c:v>
                </c:pt>
                <c:pt idx="2">
                  <c:v>-6.2018555540386639E-3</c:v>
                </c:pt>
                <c:pt idx="3">
                  <c:v>-6.1537705687317173E-3</c:v>
                </c:pt>
                <c:pt idx="4">
                  <c:v>-6.157736000616751E-3</c:v>
                </c:pt>
                <c:pt idx="5">
                  <c:v>-6.013625821337772E-3</c:v>
                </c:pt>
                <c:pt idx="6">
                  <c:v>-5.8848288580745766E-3</c:v>
                </c:pt>
                <c:pt idx="7">
                  <c:v>-5.7994869929837512E-3</c:v>
                </c:pt>
                <c:pt idx="8">
                  <c:v>-5.8073311390145739E-3</c:v>
                </c:pt>
                <c:pt idx="9">
                  <c:v>-5.7660519473704446E-3</c:v>
                </c:pt>
                <c:pt idx="10">
                  <c:v>-5.7124469684241485E-3</c:v>
                </c:pt>
                <c:pt idx="11">
                  <c:v>-5.6888018531431129E-3</c:v>
                </c:pt>
                <c:pt idx="12">
                  <c:v>-5.6685686952874645E-3</c:v>
                </c:pt>
                <c:pt idx="13">
                  <c:v>-5.6241928288767954E-3</c:v>
                </c:pt>
                <c:pt idx="14">
                  <c:v>-5.6910109759811534E-3</c:v>
                </c:pt>
                <c:pt idx="15">
                  <c:v>-5.6963847655850264E-3</c:v>
                </c:pt>
                <c:pt idx="16">
                  <c:v>-5.5817847383389267E-3</c:v>
                </c:pt>
                <c:pt idx="17">
                  <c:v>-5.5507574620251429E-3</c:v>
                </c:pt>
                <c:pt idx="18">
                  <c:v>-5.5247304910105146E-3</c:v>
                </c:pt>
                <c:pt idx="19">
                  <c:v>-5.511165741365817E-3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Chg_S_neg_den!$A$8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Chg_S_neg_den!$B$8:$U$8</c:f>
              <c:numCache>
                <c:formatCode>General</c:formatCode>
                <c:ptCount val="20"/>
                <c:pt idx="0">
                  <c:v>-6.1971709055700453E-3</c:v>
                </c:pt>
                <c:pt idx="1">
                  <c:v>-6.1637790467234657E-3</c:v>
                </c:pt>
                <c:pt idx="2">
                  <c:v>-6.2667033980185948E-3</c:v>
                </c:pt>
                <c:pt idx="3">
                  <c:v>-6.2943812126267139E-3</c:v>
                </c:pt>
                <c:pt idx="4">
                  <c:v>-6.2732276914158518E-3</c:v>
                </c:pt>
                <c:pt idx="5">
                  <c:v>-6.1737901549121883E-3</c:v>
                </c:pt>
                <c:pt idx="6">
                  <c:v>-6.0986428158234327E-3</c:v>
                </c:pt>
                <c:pt idx="7">
                  <c:v>-6.1377595793381725E-3</c:v>
                </c:pt>
                <c:pt idx="8">
                  <c:v>-6.0240392481937096E-3</c:v>
                </c:pt>
                <c:pt idx="9">
                  <c:v>-5.9880538349224351E-3</c:v>
                </c:pt>
                <c:pt idx="10">
                  <c:v>-5.959261067365329E-3</c:v>
                </c:pt>
                <c:pt idx="11">
                  <c:v>-5.8900178738104363E-3</c:v>
                </c:pt>
                <c:pt idx="12">
                  <c:v>-5.8487591834457476E-3</c:v>
                </c:pt>
                <c:pt idx="13">
                  <c:v>-5.9125937439249553E-3</c:v>
                </c:pt>
                <c:pt idx="14">
                  <c:v>-5.8969639577480665E-3</c:v>
                </c:pt>
                <c:pt idx="15">
                  <c:v>-5.9063739189558944E-3</c:v>
                </c:pt>
                <c:pt idx="16">
                  <c:v>-5.81545874779034E-3</c:v>
                </c:pt>
                <c:pt idx="17">
                  <c:v>-5.7891481678588293E-3</c:v>
                </c:pt>
                <c:pt idx="18">
                  <c:v>-5.7487111143977405E-3</c:v>
                </c:pt>
                <c:pt idx="19">
                  <c:v>-5.6159864348706784E-3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Chg_S_neg_den!$A$9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Chg_S_neg_den!$B$9:$U$9</c:f>
              <c:numCache>
                <c:formatCode>General</c:formatCode>
                <c:ptCount val="20"/>
                <c:pt idx="0">
                  <c:v>-6.3062900446250953E-3</c:v>
                </c:pt>
                <c:pt idx="1">
                  <c:v>-6.3173976328707851E-3</c:v>
                </c:pt>
                <c:pt idx="2">
                  <c:v>-6.4502942030862723E-3</c:v>
                </c:pt>
                <c:pt idx="3">
                  <c:v>-6.503085604357986E-3</c:v>
                </c:pt>
                <c:pt idx="4">
                  <c:v>-6.5341359080212944E-3</c:v>
                </c:pt>
                <c:pt idx="5">
                  <c:v>-6.5268522496390296E-3</c:v>
                </c:pt>
                <c:pt idx="6">
                  <c:v>-6.4183535375602887E-3</c:v>
                </c:pt>
                <c:pt idx="7">
                  <c:v>-6.3843788656571055E-3</c:v>
                </c:pt>
                <c:pt idx="8">
                  <c:v>-6.2572939504504871E-3</c:v>
                </c:pt>
                <c:pt idx="9">
                  <c:v>-6.1871017306239246E-3</c:v>
                </c:pt>
                <c:pt idx="10">
                  <c:v>-6.189803703436649E-3</c:v>
                </c:pt>
                <c:pt idx="11">
                  <c:v>-6.0410521336688198E-3</c:v>
                </c:pt>
                <c:pt idx="12">
                  <c:v>-5.9421789315590246E-3</c:v>
                </c:pt>
                <c:pt idx="13">
                  <c:v>-5.8586834515649095E-3</c:v>
                </c:pt>
                <c:pt idx="14">
                  <c:v>-5.9019651054920807E-3</c:v>
                </c:pt>
                <c:pt idx="15">
                  <c:v>-5.867878651305892E-3</c:v>
                </c:pt>
                <c:pt idx="16">
                  <c:v>-5.8912983682702065E-3</c:v>
                </c:pt>
                <c:pt idx="17">
                  <c:v>-5.8547458371024253E-3</c:v>
                </c:pt>
                <c:pt idx="18">
                  <c:v>-5.8209271465871227E-3</c:v>
                </c:pt>
                <c:pt idx="19">
                  <c:v>-5.7603918266944864E-3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Chg_S_neg_den!$A$10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Chg_S_neg_den!$B$10:$U$10</c:f>
              <c:numCache>
                <c:formatCode>General</c:formatCode>
                <c:ptCount val="20"/>
                <c:pt idx="0">
                  <c:v>-6.2171888670130519E-3</c:v>
                </c:pt>
                <c:pt idx="1">
                  <c:v>-6.1355996202181826E-3</c:v>
                </c:pt>
                <c:pt idx="2">
                  <c:v>-6.1529197481725367E-3</c:v>
                </c:pt>
                <c:pt idx="3">
                  <c:v>-6.1193567204586297E-3</c:v>
                </c:pt>
                <c:pt idx="4">
                  <c:v>-6.0854591629900447E-3</c:v>
                </c:pt>
                <c:pt idx="5">
                  <c:v>-5.9848035206294366E-3</c:v>
                </c:pt>
                <c:pt idx="6">
                  <c:v>-5.8758520171444508E-3</c:v>
                </c:pt>
                <c:pt idx="7">
                  <c:v>-5.7439408628913603E-3</c:v>
                </c:pt>
                <c:pt idx="8">
                  <c:v>-5.6680909537295526E-3</c:v>
                </c:pt>
                <c:pt idx="9">
                  <c:v>-5.5874989431503068E-3</c:v>
                </c:pt>
                <c:pt idx="10">
                  <c:v>-5.6397051536364621E-3</c:v>
                </c:pt>
                <c:pt idx="11">
                  <c:v>-5.6311459261941194E-3</c:v>
                </c:pt>
                <c:pt idx="12">
                  <c:v>-5.6059445575135092E-3</c:v>
                </c:pt>
                <c:pt idx="13">
                  <c:v>-5.606390108400223E-3</c:v>
                </c:pt>
                <c:pt idx="14">
                  <c:v>-5.563095257964344E-3</c:v>
                </c:pt>
                <c:pt idx="15">
                  <c:v>-5.6036374483127514E-3</c:v>
                </c:pt>
                <c:pt idx="16">
                  <c:v>-5.5791007496101483E-3</c:v>
                </c:pt>
                <c:pt idx="17">
                  <c:v>-5.5137698204221989E-3</c:v>
                </c:pt>
                <c:pt idx="18">
                  <c:v>-5.4802619805568789E-3</c:v>
                </c:pt>
                <c:pt idx="19">
                  <c:v>-5.4247888409386536E-3</c:v>
                </c:pt>
              </c:numCache>
            </c:numRef>
          </c:yVal>
          <c:smooth val="1"/>
        </c:ser>
        <c:axId val="67331200"/>
        <c:axId val="67333120"/>
      </c:scatterChart>
      <c:valAx>
        <c:axId val="673312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333120"/>
        <c:crosses val="autoZero"/>
        <c:crossBetween val="midCat"/>
      </c:valAx>
      <c:valAx>
        <c:axId val="67333120"/>
        <c:scaling>
          <c:orientation val="minMax"/>
        </c:scaling>
        <c:axPos val="l"/>
        <c:numFmt formatCode="General" sourceLinked="1"/>
        <c:tickLblPos val="nextTo"/>
        <c:crossAx val="67331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1118316132"/>
          <c:y val="7.9861454268363094E-2"/>
          <c:w val="0.15000030878493117"/>
          <c:h val="0.83680852210189283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Chg_T!$B$3:$U$3</c:f>
              <c:numCache>
                <c:formatCode>General</c:formatCode>
                <c:ptCount val="20"/>
                <c:pt idx="0">
                  <c:v>-34.655349999999999</c:v>
                </c:pt>
                <c:pt idx="1">
                  <c:v>-19.584660000000003</c:v>
                </c:pt>
                <c:pt idx="2">
                  <c:v>-10.134259999999999</c:v>
                </c:pt>
                <c:pt idx="3">
                  <c:v>-6.2807329999999997</c:v>
                </c:pt>
                <c:pt idx="4">
                  <c:v>-4.2382289999999996</c:v>
                </c:pt>
                <c:pt idx="5">
                  <c:v>-2.9403549999999994</c:v>
                </c:pt>
                <c:pt idx="6">
                  <c:v>-2.2637140000000002</c:v>
                </c:pt>
                <c:pt idx="7">
                  <c:v>-1.7188749999999997</c:v>
                </c:pt>
                <c:pt idx="8">
                  <c:v>-1.329577</c:v>
                </c:pt>
                <c:pt idx="9">
                  <c:v>-1.1706270000000001</c:v>
                </c:pt>
                <c:pt idx="10">
                  <c:v>-1.0683790000000002</c:v>
                </c:pt>
                <c:pt idx="11">
                  <c:v>-0.84278999999999993</c:v>
                </c:pt>
                <c:pt idx="12">
                  <c:v>-0.75069099999999978</c:v>
                </c:pt>
                <c:pt idx="13">
                  <c:v>-0.67813100000000004</c:v>
                </c:pt>
                <c:pt idx="14">
                  <c:v>-0.57237000000000005</c:v>
                </c:pt>
                <c:pt idx="15">
                  <c:v>-0.49091600000000013</c:v>
                </c:pt>
                <c:pt idx="16">
                  <c:v>-0.45818800000000026</c:v>
                </c:pt>
                <c:pt idx="17">
                  <c:v>-0.40893200000000007</c:v>
                </c:pt>
                <c:pt idx="18">
                  <c:v>-0.36289499999999997</c:v>
                </c:pt>
                <c:pt idx="19">
                  <c:v>-0.34689899999999985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Chg_T!$B$4:$U$4</c:f>
              <c:numCache>
                <c:formatCode>General</c:formatCode>
                <c:ptCount val="20"/>
                <c:pt idx="0">
                  <c:v>-34.794849999999997</c:v>
                </c:pt>
                <c:pt idx="1">
                  <c:v>-19.831969999999998</c:v>
                </c:pt>
                <c:pt idx="2">
                  <c:v>-10.313089999999999</c:v>
                </c:pt>
                <c:pt idx="3">
                  <c:v>-6.3647180000000008</c:v>
                </c:pt>
                <c:pt idx="4">
                  <c:v>-4.364533999999999</c:v>
                </c:pt>
                <c:pt idx="5">
                  <c:v>-2.9453230000000001</c:v>
                </c:pt>
                <c:pt idx="6">
                  <c:v>-2.3600089999999994</c:v>
                </c:pt>
                <c:pt idx="7">
                  <c:v>-1.8225569999999998</c:v>
                </c:pt>
                <c:pt idx="8">
                  <c:v>-1.4945540000000004</c:v>
                </c:pt>
                <c:pt idx="9">
                  <c:v>-1.1776790000000004</c:v>
                </c:pt>
                <c:pt idx="10">
                  <c:v>-0.99253100000000005</c:v>
                </c:pt>
                <c:pt idx="11">
                  <c:v>-0.85095600000000005</c:v>
                </c:pt>
                <c:pt idx="12">
                  <c:v>-0.79615800000000014</c:v>
                </c:pt>
                <c:pt idx="13">
                  <c:v>-0.69104699999999997</c:v>
                </c:pt>
                <c:pt idx="14">
                  <c:v>-0.59224299999999985</c:v>
                </c:pt>
                <c:pt idx="15">
                  <c:v>-0.55245499999999992</c:v>
                </c:pt>
                <c:pt idx="16">
                  <c:v>-0.49083900000000003</c:v>
                </c:pt>
                <c:pt idx="17">
                  <c:v>-0.457673</c:v>
                </c:pt>
                <c:pt idx="18">
                  <c:v>-0.40506299999999995</c:v>
                </c:pt>
                <c:pt idx="19">
                  <c:v>-0.32501100000000016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Chg_T!$B$5:$U$5</c:f>
              <c:numCache>
                <c:formatCode>General</c:formatCode>
                <c:ptCount val="20"/>
                <c:pt idx="0">
                  <c:v>-36.449280000000002</c:v>
                </c:pt>
                <c:pt idx="1">
                  <c:v>-21.620530000000002</c:v>
                </c:pt>
                <c:pt idx="2">
                  <c:v>-11.642248999999998</c:v>
                </c:pt>
                <c:pt idx="3">
                  <c:v>-7.5007930000000007</c:v>
                </c:pt>
                <c:pt idx="4">
                  <c:v>-5.2458300000000007</c:v>
                </c:pt>
                <c:pt idx="5">
                  <c:v>-3.9017330000000001</c:v>
                </c:pt>
                <c:pt idx="6">
                  <c:v>-3.0134389999999995</c:v>
                </c:pt>
                <c:pt idx="7">
                  <c:v>-2.4454390000000004</c:v>
                </c:pt>
                <c:pt idx="8">
                  <c:v>-1.924569</c:v>
                </c:pt>
                <c:pt idx="9">
                  <c:v>-1.621683</c:v>
                </c:pt>
                <c:pt idx="10">
                  <c:v>-1.2929729999999999</c:v>
                </c:pt>
                <c:pt idx="11">
                  <c:v>-1.2143400000000002</c:v>
                </c:pt>
                <c:pt idx="12">
                  <c:v>-1.0820639999999999</c:v>
                </c:pt>
                <c:pt idx="13">
                  <c:v>-0.92947700000000011</c:v>
                </c:pt>
                <c:pt idx="14">
                  <c:v>-0.80176300000000023</c:v>
                </c:pt>
                <c:pt idx="15">
                  <c:v>-0.72693700000000017</c:v>
                </c:pt>
                <c:pt idx="16">
                  <c:v>-0.63229399999999991</c:v>
                </c:pt>
                <c:pt idx="17">
                  <c:v>-0.58587900000000004</c:v>
                </c:pt>
                <c:pt idx="18">
                  <c:v>-0.5202380000000002</c:v>
                </c:pt>
                <c:pt idx="19">
                  <c:v>-0.48180999999999985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Chg_T!$B$6:$U$6</c:f>
              <c:numCache>
                <c:formatCode>General</c:formatCode>
                <c:ptCount val="20"/>
                <c:pt idx="0">
                  <c:v>-35.063720000000004</c:v>
                </c:pt>
                <c:pt idx="1">
                  <c:v>-20.110379999999999</c:v>
                </c:pt>
                <c:pt idx="2">
                  <c:v>-10.472548999999999</c:v>
                </c:pt>
                <c:pt idx="3">
                  <c:v>-6.4902489999999995</c:v>
                </c:pt>
                <c:pt idx="4">
                  <c:v>-4.419486</c:v>
                </c:pt>
                <c:pt idx="5">
                  <c:v>-3.0764179999999994</c:v>
                </c:pt>
                <c:pt idx="6">
                  <c:v>-2.3596289999999995</c:v>
                </c:pt>
                <c:pt idx="7">
                  <c:v>-1.8805319999999996</c:v>
                </c:pt>
                <c:pt idx="8">
                  <c:v>-1.4619699999999995</c:v>
                </c:pt>
                <c:pt idx="9">
                  <c:v>-1.2259759999999997</c:v>
                </c:pt>
                <c:pt idx="10">
                  <c:v>-1.0596179999999999</c:v>
                </c:pt>
                <c:pt idx="11">
                  <c:v>-0.89881399999999978</c:v>
                </c:pt>
                <c:pt idx="12">
                  <c:v>-0.79814100000000021</c:v>
                </c:pt>
                <c:pt idx="13">
                  <c:v>-0.66424299999999969</c:v>
                </c:pt>
                <c:pt idx="14">
                  <c:v>-0.56020200000000009</c:v>
                </c:pt>
                <c:pt idx="15">
                  <c:v>-0.5075550000000002</c:v>
                </c:pt>
                <c:pt idx="16">
                  <c:v>-0.44077100000000002</c:v>
                </c:pt>
                <c:pt idx="17">
                  <c:v>-0.42892399999999986</c:v>
                </c:pt>
                <c:pt idx="18">
                  <c:v>-0.35819000000000001</c:v>
                </c:pt>
                <c:pt idx="19">
                  <c:v>-0.31269199999999997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Chg_T!$B$7:$U$7</c:f>
              <c:numCache>
                <c:formatCode>General</c:formatCode>
                <c:ptCount val="20"/>
                <c:pt idx="0">
                  <c:v>-35.589030000000008</c:v>
                </c:pt>
                <c:pt idx="1">
                  <c:v>-21.085760000000001</c:v>
                </c:pt>
                <c:pt idx="2">
                  <c:v>-11.026238000000001</c:v>
                </c:pt>
                <c:pt idx="3">
                  <c:v>-7.0276839999999998</c:v>
                </c:pt>
                <c:pt idx="4">
                  <c:v>-4.9382390000000003</c:v>
                </c:pt>
                <c:pt idx="5">
                  <c:v>-3.3794550000000001</c:v>
                </c:pt>
                <c:pt idx="6">
                  <c:v>-2.5451670000000002</c:v>
                </c:pt>
                <c:pt idx="7">
                  <c:v>-1.8876679999999997</c:v>
                </c:pt>
                <c:pt idx="8">
                  <c:v>-1.631507</c:v>
                </c:pt>
                <c:pt idx="9">
                  <c:v>-1.3977759999999999</c:v>
                </c:pt>
                <c:pt idx="10">
                  <c:v>-1.173244</c:v>
                </c:pt>
                <c:pt idx="11">
                  <c:v>-1.0209339999999998</c:v>
                </c:pt>
                <c:pt idx="12">
                  <c:v>-0.93011000000000021</c:v>
                </c:pt>
                <c:pt idx="13">
                  <c:v>-0.818608</c:v>
                </c:pt>
                <c:pt idx="14">
                  <c:v>-0.78687300000000016</c:v>
                </c:pt>
                <c:pt idx="15">
                  <c:v>-0.71239600000000003</c:v>
                </c:pt>
                <c:pt idx="16">
                  <c:v>-0.62015799999999999</c:v>
                </c:pt>
                <c:pt idx="17">
                  <c:v>-0.56202900000000011</c:v>
                </c:pt>
                <c:pt idx="18">
                  <c:v>-0.52106000000000008</c:v>
                </c:pt>
                <c:pt idx="19">
                  <c:v>-0.4937720000000001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Chg_T!$B$8:$U$8</c:f>
              <c:numCache>
                <c:formatCode>General</c:formatCode>
                <c:ptCount val="20"/>
                <c:pt idx="0">
                  <c:v>-35.042019999999994</c:v>
                </c:pt>
                <c:pt idx="1">
                  <c:v>-20.236809999999998</c:v>
                </c:pt>
                <c:pt idx="2">
                  <c:v>-10.484990999999999</c:v>
                </c:pt>
                <c:pt idx="3">
                  <c:v>-6.40306</c:v>
                </c:pt>
                <c:pt idx="4">
                  <c:v>-4.3496319999999997</c:v>
                </c:pt>
                <c:pt idx="5">
                  <c:v>-3.0788869999999999</c:v>
                </c:pt>
                <c:pt idx="6">
                  <c:v>-2.3500670000000001</c:v>
                </c:pt>
                <c:pt idx="7">
                  <c:v>-1.9264560000000004</c:v>
                </c:pt>
                <c:pt idx="8">
                  <c:v>-1.4785340000000002</c:v>
                </c:pt>
                <c:pt idx="9">
                  <c:v>-1.1806200000000002</c:v>
                </c:pt>
                <c:pt idx="10">
                  <c:v>-0.96034100000000011</c:v>
                </c:pt>
                <c:pt idx="11">
                  <c:v>-0.79755799999999999</c:v>
                </c:pt>
                <c:pt idx="12">
                  <c:v>-0.67699099999999968</c:v>
                </c:pt>
                <c:pt idx="13">
                  <c:v>-0.62869299999999995</c:v>
                </c:pt>
                <c:pt idx="14">
                  <c:v>-0.60658999999999996</c:v>
                </c:pt>
                <c:pt idx="15">
                  <c:v>-0.59653200000000006</c:v>
                </c:pt>
                <c:pt idx="16">
                  <c:v>-0.48811099999999974</c:v>
                </c:pt>
                <c:pt idx="17">
                  <c:v>-0.47373100000000012</c:v>
                </c:pt>
                <c:pt idx="18">
                  <c:v>-0.40003900000000003</c:v>
                </c:pt>
                <c:pt idx="19">
                  <c:v>-0.32309799999999989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Chg_T!$B$9:$U$9</c:f>
              <c:numCache>
                <c:formatCode>General</c:formatCode>
                <c:ptCount val="20"/>
                <c:pt idx="0">
                  <c:v>-35.783640000000005</c:v>
                </c:pt>
                <c:pt idx="1">
                  <c:v>-21.40896</c:v>
                </c:pt>
                <c:pt idx="2">
                  <c:v>-11.836955</c:v>
                </c:pt>
                <c:pt idx="3">
                  <c:v>-7.9151669999999994</c:v>
                </c:pt>
                <c:pt idx="4">
                  <c:v>-5.6356230000000007</c:v>
                </c:pt>
                <c:pt idx="5">
                  <c:v>-4.2484599999999997</c:v>
                </c:pt>
                <c:pt idx="6">
                  <c:v>-3.1915399999999998</c:v>
                </c:pt>
                <c:pt idx="7">
                  <c:v>-2.5885720000000001</c:v>
                </c:pt>
                <c:pt idx="8">
                  <c:v>-2.1545350000000005</c:v>
                </c:pt>
                <c:pt idx="9">
                  <c:v>-1.8069209999999996</c:v>
                </c:pt>
                <c:pt idx="10">
                  <c:v>-1.5778530000000002</c:v>
                </c:pt>
                <c:pt idx="11">
                  <c:v>-1.2943030000000002</c:v>
                </c:pt>
                <c:pt idx="12">
                  <c:v>-1.078743</c:v>
                </c:pt>
                <c:pt idx="13">
                  <c:v>-0.94581300000000024</c:v>
                </c:pt>
                <c:pt idx="14">
                  <c:v>-0.90238499999999999</c:v>
                </c:pt>
                <c:pt idx="15">
                  <c:v>-0.85860599999999998</c:v>
                </c:pt>
                <c:pt idx="16">
                  <c:v>-0.79268399999999994</c:v>
                </c:pt>
                <c:pt idx="17">
                  <c:v>-0.73428300000000002</c:v>
                </c:pt>
                <c:pt idx="18">
                  <c:v>-0.67295299999999991</c:v>
                </c:pt>
                <c:pt idx="19">
                  <c:v>-0.611097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Chg_T!$B$10:$U$10</c:f>
              <c:numCache>
                <c:formatCode>General</c:formatCode>
                <c:ptCount val="20"/>
                <c:pt idx="0">
                  <c:v>-35.331199999999995</c:v>
                </c:pt>
                <c:pt idx="1">
                  <c:v>-20.46096</c:v>
                </c:pt>
                <c:pt idx="2">
                  <c:v>-10.592530000000002</c:v>
                </c:pt>
                <c:pt idx="3">
                  <c:v>-6.5319789999999998</c:v>
                </c:pt>
                <c:pt idx="4">
                  <c:v>-4.4887360000000003</c:v>
                </c:pt>
                <c:pt idx="5">
                  <c:v>-3.1181030000000005</c:v>
                </c:pt>
                <c:pt idx="6">
                  <c:v>-2.28295</c:v>
                </c:pt>
                <c:pt idx="7">
                  <c:v>-1.755293</c:v>
                </c:pt>
                <c:pt idx="8">
                  <c:v>-1.3577780000000002</c:v>
                </c:pt>
                <c:pt idx="9">
                  <c:v>-1.0241179999999996</c:v>
                </c:pt>
                <c:pt idx="10">
                  <c:v>-0.90476100000000015</c:v>
                </c:pt>
                <c:pt idx="11">
                  <c:v>-0.76452299999999962</c:v>
                </c:pt>
                <c:pt idx="12">
                  <c:v>-0.66638000000000019</c:v>
                </c:pt>
                <c:pt idx="13">
                  <c:v>-0.57883899999999988</c:v>
                </c:pt>
                <c:pt idx="14">
                  <c:v>-0.50740100000000021</c:v>
                </c:pt>
                <c:pt idx="15">
                  <c:v>-0.51795599999999986</c:v>
                </c:pt>
                <c:pt idx="16">
                  <c:v>-0.45866600000000002</c:v>
                </c:pt>
                <c:pt idx="17">
                  <c:v>-0.41082099999999988</c:v>
                </c:pt>
                <c:pt idx="18">
                  <c:v>-0.37430999999999992</c:v>
                </c:pt>
                <c:pt idx="19">
                  <c:v>-0.31614600000000004</c:v>
                </c:pt>
              </c:numCache>
            </c:numRef>
          </c:yVal>
          <c:smooth val="1"/>
        </c:ser>
        <c:axId val="67375104"/>
        <c:axId val="67377024"/>
      </c:scatterChart>
      <c:valAx>
        <c:axId val="673751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377024"/>
        <c:crosses val="autoZero"/>
        <c:crossBetween val="midCat"/>
      </c:valAx>
      <c:valAx>
        <c:axId val="67377024"/>
        <c:scaling>
          <c:orientation val="minMax"/>
        </c:scaling>
        <c:axPos val="l"/>
        <c:numFmt formatCode="General" sourceLinked="1"/>
        <c:tickLblPos val="nextTo"/>
        <c:crossAx val="67375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845920006"/>
          <c:y val="7.9861355565848391E-2"/>
          <c:w val="0.15000015409032783"/>
          <c:h val="0.8368083989501314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AA_pho_ind!$A$3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AA_pho_ind!$B$3:$U$3</c:f>
              <c:numCache>
                <c:formatCode>General</c:formatCode>
                <c:ptCount val="20"/>
                <c:pt idx="0">
                  <c:v>-1.2414543E-2</c:v>
                </c:pt>
                <c:pt idx="1">
                  <c:v>-1.2383896E-2</c:v>
                </c:pt>
                <c:pt idx="2">
                  <c:v>-1.1483067E-2</c:v>
                </c:pt>
                <c:pt idx="3">
                  <c:v>-1.0812323E-2</c:v>
                </c:pt>
                <c:pt idx="4">
                  <c:v>-1.0718959E-2</c:v>
                </c:pt>
                <c:pt idx="5">
                  <c:v>-9.8005217000000002E-3</c:v>
                </c:pt>
                <c:pt idx="6">
                  <c:v>-9.8907687000000001E-3</c:v>
                </c:pt>
                <c:pt idx="7">
                  <c:v>-9.8533639999999999E-3</c:v>
                </c:pt>
                <c:pt idx="8">
                  <c:v>-9.4079356999999999E-3</c:v>
                </c:pt>
                <c:pt idx="9">
                  <c:v>-9.0945269999999998E-3</c:v>
                </c:pt>
                <c:pt idx="10">
                  <c:v>-9.7359036999999995E-3</c:v>
                </c:pt>
                <c:pt idx="11">
                  <c:v>-9.9932682000000005E-3</c:v>
                </c:pt>
                <c:pt idx="12">
                  <c:v>-9.4658368999999999E-3</c:v>
                </c:pt>
                <c:pt idx="13">
                  <c:v>-9.6501847999999994E-3</c:v>
                </c:pt>
                <c:pt idx="14">
                  <c:v>-9.6787288999999992E-3</c:v>
                </c:pt>
                <c:pt idx="15">
                  <c:v>-9.7245425000000007E-3</c:v>
                </c:pt>
                <c:pt idx="16">
                  <c:v>-9.5555213999999992E-3</c:v>
                </c:pt>
                <c:pt idx="17">
                  <c:v>-9.9310632999999992E-3</c:v>
                </c:pt>
                <c:pt idx="18">
                  <c:v>-1.0138103000000001E-2</c:v>
                </c:pt>
                <c:pt idx="19">
                  <c:v>-1.0299301E-2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AA_pho_ind!$A$4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AA_pho_ind!$B$4:$U$4</c:f>
              <c:numCache>
                <c:formatCode>General</c:formatCode>
                <c:ptCount val="20"/>
                <c:pt idx="0">
                  <c:v>-1.2463695E-2</c:v>
                </c:pt>
                <c:pt idx="1">
                  <c:v>-1.2438205000000001E-2</c:v>
                </c:pt>
                <c:pt idx="2">
                  <c:v>-1.1518230000000001E-2</c:v>
                </c:pt>
                <c:pt idx="3">
                  <c:v>-1.071751E-2</c:v>
                </c:pt>
                <c:pt idx="4">
                  <c:v>-1.0584277E-2</c:v>
                </c:pt>
                <c:pt idx="5">
                  <c:v>-9.8581966000000007E-3</c:v>
                </c:pt>
                <c:pt idx="6">
                  <c:v>-1.0166542000000001E-2</c:v>
                </c:pt>
                <c:pt idx="7">
                  <c:v>-9.7381072000000003E-3</c:v>
                </c:pt>
                <c:pt idx="8">
                  <c:v>-9.7945640000000004E-3</c:v>
                </c:pt>
                <c:pt idx="9">
                  <c:v>-9.2137800999999991E-3</c:v>
                </c:pt>
                <c:pt idx="10">
                  <c:v>-9.9079404000000006E-3</c:v>
                </c:pt>
                <c:pt idx="11">
                  <c:v>-9.9843833999999996E-3</c:v>
                </c:pt>
                <c:pt idx="12">
                  <c:v>-9.5652471999999999E-3</c:v>
                </c:pt>
                <c:pt idx="13">
                  <c:v>-9.6104080000000008E-3</c:v>
                </c:pt>
                <c:pt idx="14">
                  <c:v>-9.8780802999999997E-3</c:v>
                </c:pt>
                <c:pt idx="15">
                  <c:v>-1.0033431000000001E-2</c:v>
                </c:pt>
                <c:pt idx="16">
                  <c:v>-9.6795699000000006E-3</c:v>
                </c:pt>
                <c:pt idx="17">
                  <c:v>-9.8480367999999995E-3</c:v>
                </c:pt>
                <c:pt idx="18">
                  <c:v>-9.9250823000000005E-3</c:v>
                </c:pt>
                <c:pt idx="19">
                  <c:v>-1.0019561999999999E-2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AA_pho_ind!$A$5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AA_pho_ind!$B$5:$U$5</c:f>
              <c:numCache>
                <c:formatCode>General</c:formatCode>
                <c:ptCount val="20"/>
                <c:pt idx="0">
                  <c:v>-1.2405388E-2</c:v>
                </c:pt>
                <c:pt idx="1">
                  <c:v>-1.2356499999999999E-2</c:v>
                </c:pt>
                <c:pt idx="2">
                  <c:v>-1.128403E-2</c:v>
                </c:pt>
                <c:pt idx="3">
                  <c:v>-1.0480114E-2</c:v>
                </c:pt>
                <c:pt idx="4">
                  <c:v>-1.0393757E-2</c:v>
                </c:pt>
                <c:pt idx="5">
                  <c:v>-9.5902708999999996E-3</c:v>
                </c:pt>
                <c:pt idx="6">
                  <c:v>-9.6369507000000007E-3</c:v>
                </c:pt>
                <c:pt idx="7">
                  <c:v>-9.4608738999999997E-3</c:v>
                </c:pt>
                <c:pt idx="8">
                  <c:v>-9.2913071E-3</c:v>
                </c:pt>
                <c:pt idx="9">
                  <c:v>-8.9567312999999996E-3</c:v>
                </c:pt>
                <c:pt idx="10">
                  <c:v>-9.7689106999999994E-3</c:v>
                </c:pt>
                <c:pt idx="11">
                  <c:v>-9.8390300000000003E-3</c:v>
                </c:pt>
                <c:pt idx="12">
                  <c:v>-9.3614644999999996E-3</c:v>
                </c:pt>
                <c:pt idx="13">
                  <c:v>-9.3157551999999994E-3</c:v>
                </c:pt>
                <c:pt idx="14">
                  <c:v>-9.419363E-3</c:v>
                </c:pt>
                <c:pt idx="15">
                  <c:v>-9.3765371000000004E-3</c:v>
                </c:pt>
                <c:pt idx="16">
                  <c:v>-9.0701114000000006E-3</c:v>
                </c:pt>
                <c:pt idx="17">
                  <c:v>-9.5222080000000008E-3</c:v>
                </c:pt>
                <c:pt idx="18">
                  <c:v>-9.9129992999999993E-3</c:v>
                </c:pt>
                <c:pt idx="19">
                  <c:v>-9.9555514999999997E-3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AA_pho_ind!$A$6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AA_pho_ind!$B$6:$U$6</c:f>
              <c:numCache>
                <c:formatCode>General</c:formatCode>
                <c:ptCount val="20"/>
                <c:pt idx="0">
                  <c:v>-1.2451220000000001E-2</c:v>
                </c:pt>
                <c:pt idx="1">
                  <c:v>-1.2434855999999999E-2</c:v>
                </c:pt>
                <c:pt idx="2">
                  <c:v>-1.150268E-2</c:v>
                </c:pt>
                <c:pt idx="3">
                  <c:v>-1.0891349E-2</c:v>
                </c:pt>
                <c:pt idx="4">
                  <c:v>-1.0696509999999999E-2</c:v>
                </c:pt>
                <c:pt idx="5">
                  <c:v>-9.8057509999999997E-3</c:v>
                </c:pt>
                <c:pt idx="6">
                  <c:v>-1.0054721000000001E-2</c:v>
                </c:pt>
                <c:pt idx="7">
                  <c:v>-9.7413919999999998E-3</c:v>
                </c:pt>
                <c:pt idx="8">
                  <c:v>-9.5618768000000007E-3</c:v>
                </c:pt>
                <c:pt idx="9">
                  <c:v>-9.1988081000000006E-3</c:v>
                </c:pt>
                <c:pt idx="10">
                  <c:v>-9.8196668999999993E-3</c:v>
                </c:pt>
                <c:pt idx="11">
                  <c:v>-9.8740384E-3</c:v>
                </c:pt>
                <c:pt idx="12">
                  <c:v>-9.5406324000000004E-3</c:v>
                </c:pt>
                <c:pt idx="13">
                  <c:v>-9.3100023999999997E-3</c:v>
                </c:pt>
                <c:pt idx="14">
                  <c:v>-9.3859042999999993E-3</c:v>
                </c:pt>
                <c:pt idx="15">
                  <c:v>-1.0001029E-2</c:v>
                </c:pt>
                <c:pt idx="16">
                  <c:v>-9.8168150999999992E-3</c:v>
                </c:pt>
                <c:pt idx="17">
                  <c:v>-1.019424E-2</c:v>
                </c:pt>
                <c:pt idx="18">
                  <c:v>-1.0137344E-2</c:v>
                </c:pt>
                <c:pt idx="19">
                  <c:v>-1.0138678999999999E-2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AA_pho_ind!$A$7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AA_pho_ind!$B$7:$U$7</c:f>
              <c:numCache>
                <c:formatCode>General</c:formatCode>
                <c:ptCount val="20"/>
                <c:pt idx="0">
                  <c:v>-1.2319553E-2</c:v>
                </c:pt>
                <c:pt idx="1">
                  <c:v>-1.2243436999999999E-2</c:v>
                </c:pt>
                <c:pt idx="2">
                  <c:v>-1.1209833000000001E-2</c:v>
                </c:pt>
                <c:pt idx="3">
                  <c:v>-1.025379E-2</c:v>
                </c:pt>
                <c:pt idx="4">
                  <c:v>-1.0175478E-2</c:v>
                </c:pt>
                <c:pt idx="5">
                  <c:v>-9.3571581000000004E-3</c:v>
                </c:pt>
                <c:pt idx="6">
                  <c:v>-9.2897136000000009E-3</c:v>
                </c:pt>
                <c:pt idx="7">
                  <c:v>-9.4471591999999993E-3</c:v>
                </c:pt>
                <c:pt idx="8">
                  <c:v>-9.1001503000000001E-3</c:v>
                </c:pt>
                <c:pt idx="9">
                  <c:v>-9.0403798999999993E-3</c:v>
                </c:pt>
                <c:pt idx="10">
                  <c:v>-9.7918239999999993E-3</c:v>
                </c:pt>
                <c:pt idx="11">
                  <c:v>-1.0107858000000001E-2</c:v>
                </c:pt>
                <c:pt idx="12">
                  <c:v>-9.6547659000000008E-3</c:v>
                </c:pt>
                <c:pt idx="13">
                  <c:v>-9.4290702000000004E-3</c:v>
                </c:pt>
                <c:pt idx="14">
                  <c:v>-9.2160003000000008E-3</c:v>
                </c:pt>
                <c:pt idx="15">
                  <c:v>-9.4871065000000001E-3</c:v>
                </c:pt>
                <c:pt idx="16">
                  <c:v>-9.2086093999999997E-3</c:v>
                </c:pt>
                <c:pt idx="17">
                  <c:v>-9.3801756999999999E-3</c:v>
                </c:pt>
                <c:pt idx="18">
                  <c:v>-9.7976456999999996E-3</c:v>
                </c:pt>
                <c:pt idx="19">
                  <c:v>-9.7988611000000003E-3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AA_pho_ind!$A$8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AA_pho_ind!$B$8:$U$8</c:f>
              <c:numCache>
                <c:formatCode>General</c:formatCode>
                <c:ptCount val="20"/>
                <c:pt idx="0">
                  <c:v>-1.2304641E-2</c:v>
                </c:pt>
                <c:pt idx="1">
                  <c:v>-1.2270424E-2</c:v>
                </c:pt>
                <c:pt idx="2">
                  <c:v>-1.1303463E-2</c:v>
                </c:pt>
                <c:pt idx="3">
                  <c:v>-1.0487569E-2</c:v>
                </c:pt>
                <c:pt idx="4">
                  <c:v>-1.0347156999999999E-2</c:v>
                </c:pt>
                <c:pt idx="5">
                  <c:v>-9.4845295E-3</c:v>
                </c:pt>
                <c:pt idx="6">
                  <c:v>-9.6532450999999991E-3</c:v>
                </c:pt>
                <c:pt idx="7">
                  <c:v>-9.4562927000000005E-3</c:v>
                </c:pt>
                <c:pt idx="8">
                  <c:v>-9.1527533000000001E-3</c:v>
                </c:pt>
                <c:pt idx="9">
                  <c:v>-8.8247042000000001E-3</c:v>
                </c:pt>
                <c:pt idx="10">
                  <c:v>-9.5287757000000004E-3</c:v>
                </c:pt>
                <c:pt idx="11">
                  <c:v>-9.8860217000000007E-3</c:v>
                </c:pt>
                <c:pt idx="12">
                  <c:v>-9.1794896999999997E-3</c:v>
                </c:pt>
                <c:pt idx="13">
                  <c:v>-9.3035511999999994E-3</c:v>
                </c:pt>
                <c:pt idx="14">
                  <c:v>-9.3943896000000006E-3</c:v>
                </c:pt>
                <c:pt idx="15">
                  <c:v>-9.5216100999999994E-3</c:v>
                </c:pt>
                <c:pt idx="16">
                  <c:v>-9.3856323999999998E-3</c:v>
                </c:pt>
                <c:pt idx="17">
                  <c:v>-9.8460969000000002E-3</c:v>
                </c:pt>
                <c:pt idx="18">
                  <c:v>-1.0065523999999999E-2</c:v>
                </c:pt>
                <c:pt idx="19">
                  <c:v>-9.9779832999999998E-3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AA_pho_ind!$A$9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AA_pho_ind!$B$9:$U$9</c:f>
              <c:numCache>
                <c:formatCode>General</c:formatCode>
                <c:ptCount val="20"/>
                <c:pt idx="0">
                  <c:v>-1.2679215000000001E-2</c:v>
                </c:pt>
                <c:pt idx="1">
                  <c:v>-1.2692939E-2</c:v>
                </c:pt>
                <c:pt idx="2">
                  <c:v>-1.1871886999999999E-2</c:v>
                </c:pt>
                <c:pt idx="3">
                  <c:v>-1.1173153E-2</c:v>
                </c:pt>
                <c:pt idx="4">
                  <c:v>-1.1196230999999999E-2</c:v>
                </c:pt>
                <c:pt idx="5">
                  <c:v>-1.0568315E-2</c:v>
                </c:pt>
                <c:pt idx="6">
                  <c:v>-1.0765393E-2</c:v>
                </c:pt>
                <c:pt idx="7">
                  <c:v>-1.0415914E-2</c:v>
                </c:pt>
                <c:pt idx="8">
                  <c:v>-1.0224864E-2</c:v>
                </c:pt>
                <c:pt idx="9">
                  <c:v>-9.8568816000000007E-3</c:v>
                </c:pt>
                <c:pt idx="10">
                  <c:v>-1.0346009E-2</c:v>
                </c:pt>
                <c:pt idx="11">
                  <c:v>-1.0105269E-2</c:v>
                </c:pt>
                <c:pt idx="12">
                  <c:v>-9.4717256999999992E-3</c:v>
                </c:pt>
                <c:pt idx="13">
                  <c:v>-9.6210976999999993E-3</c:v>
                </c:pt>
                <c:pt idx="14">
                  <c:v>-9.7801024000000007E-3</c:v>
                </c:pt>
                <c:pt idx="15">
                  <c:v>-9.8834075E-3</c:v>
                </c:pt>
                <c:pt idx="16">
                  <c:v>-9.8514818000000007E-3</c:v>
                </c:pt>
                <c:pt idx="17">
                  <c:v>-9.5691019999999995E-3</c:v>
                </c:pt>
                <c:pt idx="18">
                  <c:v>-9.7772394999999998E-3</c:v>
                </c:pt>
                <c:pt idx="19">
                  <c:v>-9.7702694999999996E-3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AA_pho_ind!$A$10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AA_pho_ind!$B$10:$U$10</c:f>
              <c:numCache>
                <c:formatCode>General</c:formatCode>
                <c:ptCount val="20"/>
                <c:pt idx="0">
                  <c:v>-1.2713403E-2</c:v>
                </c:pt>
                <c:pt idx="1">
                  <c:v>-1.2755673E-2</c:v>
                </c:pt>
                <c:pt idx="2">
                  <c:v>-1.1921126000000001E-2</c:v>
                </c:pt>
                <c:pt idx="3">
                  <c:v>-1.1199189999999999E-2</c:v>
                </c:pt>
                <c:pt idx="4">
                  <c:v>-1.1072022000000001E-2</c:v>
                </c:pt>
                <c:pt idx="5">
                  <c:v>-1.0461028000000001E-2</c:v>
                </c:pt>
                <c:pt idx="6">
                  <c:v>-1.0401545E-2</c:v>
                </c:pt>
                <c:pt idx="7">
                  <c:v>-1.0474529999999999E-2</c:v>
                </c:pt>
                <c:pt idx="8">
                  <c:v>-1.0292249999999999E-2</c:v>
                </c:pt>
                <c:pt idx="9">
                  <c:v>-9.6146063999999996E-3</c:v>
                </c:pt>
                <c:pt idx="10">
                  <c:v>-9.7671318999999999E-3</c:v>
                </c:pt>
                <c:pt idx="11">
                  <c:v>-9.7273429999999994E-3</c:v>
                </c:pt>
                <c:pt idx="12">
                  <c:v>-9.1820163999999996E-3</c:v>
                </c:pt>
                <c:pt idx="13">
                  <c:v>-9.1521134999999997E-3</c:v>
                </c:pt>
                <c:pt idx="14">
                  <c:v>-9.1708107000000004E-3</c:v>
                </c:pt>
                <c:pt idx="15">
                  <c:v>-9.2327808999999993E-3</c:v>
                </c:pt>
                <c:pt idx="16">
                  <c:v>-9.2408079999999997E-3</c:v>
                </c:pt>
                <c:pt idx="17">
                  <c:v>-9.4121712999999992E-3</c:v>
                </c:pt>
                <c:pt idx="18">
                  <c:v>-9.7258733999999996E-3</c:v>
                </c:pt>
                <c:pt idx="19">
                  <c:v>-9.7244176999999998E-3</c:v>
                </c:pt>
              </c:numCache>
            </c:numRef>
          </c:yVal>
          <c:smooth val="1"/>
        </c:ser>
        <c:axId val="64538880"/>
        <c:axId val="64635264"/>
      </c:scatterChart>
      <c:valAx>
        <c:axId val="645388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635264"/>
        <c:crosses val="autoZero"/>
        <c:crossBetween val="midCat"/>
      </c:valAx>
      <c:valAx>
        <c:axId val="64635264"/>
        <c:scaling>
          <c:orientation val="minMax"/>
        </c:scaling>
        <c:axPos val="l"/>
        <c:numFmt formatCode="General" sourceLinked="1"/>
        <c:tickLblPos val="nextTo"/>
        <c:crossAx val="64538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443651831981E-2"/>
          <c:w val="0.15000030638193587"/>
          <c:h val="0.8368085964176108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'Chg_T_den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'!$B$3:$U$3</c:f>
              <c:numCache>
                <c:formatCode>General</c:formatCode>
                <c:ptCount val="20"/>
                <c:pt idx="0">
                  <c:v>-4.0369376942148722E-3</c:v>
                </c:pt>
                <c:pt idx="1">
                  <c:v>-3.5194660310372524E-3</c:v>
                </c:pt>
                <c:pt idx="2">
                  <c:v>-3.1306514547393984E-3</c:v>
                </c:pt>
                <c:pt idx="3">
                  <c:v>-2.9136401359973019E-3</c:v>
                </c:pt>
                <c:pt idx="4">
                  <c:v>-2.6742787157088663E-3</c:v>
                </c:pt>
                <c:pt idx="5">
                  <c:v>-2.3741163741769302E-3</c:v>
                </c:pt>
                <c:pt idx="6">
                  <c:v>-2.2379993870428774E-3</c:v>
                </c:pt>
                <c:pt idx="7">
                  <c:v>-2.0166603037717222E-3</c:v>
                </c:pt>
                <c:pt idx="8">
                  <c:v>-1.8103995747339229E-3</c:v>
                </c:pt>
                <c:pt idx="9">
                  <c:v>-1.8003887679617552E-3</c:v>
                </c:pt>
                <c:pt idx="10">
                  <c:v>-1.8327184411225915E-3</c:v>
                </c:pt>
                <c:pt idx="11">
                  <c:v>-1.6123012314890679E-3</c:v>
                </c:pt>
                <c:pt idx="12">
                  <c:v>-1.5774955282393361E-3</c:v>
                </c:pt>
                <c:pt idx="13">
                  <c:v>-1.5473519153109418E-3</c:v>
                </c:pt>
                <c:pt idx="14">
                  <c:v>-1.4270900522570721E-3</c:v>
                </c:pt>
                <c:pt idx="15">
                  <c:v>-1.3111757463095176E-3</c:v>
                </c:pt>
                <c:pt idx="16">
                  <c:v>-1.2970533866662145E-3</c:v>
                </c:pt>
                <c:pt idx="17">
                  <c:v>-1.2299668545510329E-3</c:v>
                </c:pt>
                <c:pt idx="18">
                  <c:v>-1.1619615487569496E-3</c:v>
                </c:pt>
                <c:pt idx="19">
                  <c:v>-1.1564194297692348E-3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'Chg_T_den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'!$B$4:$U$4</c:f>
              <c:numCache>
                <c:formatCode>General</c:formatCode>
                <c:ptCount val="20"/>
                <c:pt idx="0">
                  <c:v>-4.0366027888004818E-3</c:v>
                </c:pt>
                <c:pt idx="1">
                  <c:v>-3.5562859493497466E-3</c:v>
                </c:pt>
                <c:pt idx="2">
                  <c:v>-3.1678614004386988E-3</c:v>
                </c:pt>
                <c:pt idx="3">
                  <c:v>-2.9532845319915442E-3</c:v>
                </c:pt>
                <c:pt idx="4">
                  <c:v>-2.7568844195712309E-3</c:v>
                </c:pt>
                <c:pt idx="5">
                  <c:v>-2.3665671665776119E-3</c:v>
                </c:pt>
                <c:pt idx="6">
                  <c:v>-2.3426243844430475E-3</c:v>
                </c:pt>
                <c:pt idx="7">
                  <c:v>-2.1371757750699E-3</c:v>
                </c:pt>
                <c:pt idx="8">
                  <c:v>-2.0208732642515775E-3</c:v>
                </c:pt>
                <c:pt idx="9">
                  <c:v>-1.804448089054327E-3</c:v>
                </c:pt>
                <c:pt idx="10">
                  <c:v>-1.7089085331187324E-3</c:v>
                </c:pt>
                <c:pt idx="11">
                  <c:v>-1.62439924185692E-3</c:v>
                </c:pt>
                <c:pt idx="12">
                  <c:v>-1.670279292479193E-3</c:v>
                </c:pt>
                <c:pt idx="13">
                  <c:v>-1.5649506598501962E-3</c:v>
                </c:pt>
                <c:pt idx="14">
                  <c:v>-1.4384637487063383E-3</c:v>
                </c:pt>
                <c:pt idx="15">
                  <c:v>-1.4420308580586725E-3</c:v>
                </c:pt>
                <c:pt idx="16">
                  <c:v>-1.3626494374242976E-3</c:v>
                </c:pt>
                <c:pt idx="17">
                  <c:v>-1.3412594515721679E-3</c:v>
                </c:pt>
                <c:pt idx="18">
                  <c:v>-1.2792306103539032E-3</c:v>
                </c:pt>
                <c:pt idx="19">
                  <c:v>-1.0820466569385647E-3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'Chg_T_den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'!$B$5:$U$5</c:f>
              <c:numCache>
                <c:formatCode>General</c:formatCode>
                <c:ptCount val="20"/>
                <c:pt idx="0">
                  <c:v>-4.3306181583495371E-3</c:v>
                </c:pt>
                <c:pt idx="1">
                  <c:v>-3.9565112843816435E-3</c:v>
                </c:pt>
                <c:pt idx="2">
                  <c:v>-3.5969102824573887E-3</c:v>
                </c:pt>
                <c:pt idx="3">
                  <c:v>-3.4663947760021443E-3</c:v>
                </c:pt>
                <c:pt idx="4">
                  <c:v>-3.2959495450801371E-3</c:v>
                </c:pt>
                <c:pt idx="5">
                  <c:v>-3.1050340486860001E-3</c:v>
                </c:pt>
                <c:pt idx="6">
                  <c:v>-2.928953340882251E-3</c:v>
                </c:pt>
                <c:pt idx="7">
                  <c:v>-2.8329034155670047E-3</c:v>
                </c:pt>
                <c:pt idx="8">
                  <c:v>-2.5879198966321407E-3</c:v>
                </c:pt>
                <c:pt idx="9">
                  <c:v>-2.5021466041532333E-3</c:v>
                </c:pt>
                <c:pt idx="10">
                  <c:v>-2.2551557023055566E-3</c:v>
                </c:pt>
                <c:pt idx="11">
                  <c:v>-2.3214898491932027E-3</c:v>
                </c:pt>
                <c:pt idx="12">
                  <c:v>-2.2697489516666459E-3</c:v>
                </c:pt>
                <c:pt idx="13">
                  <c:v>-2.1186727730933071E-3</c:v>
                </c:pt>
                <c:pt idx="14">
                  <c:v>-1.962368657436076E-3</c:v>
                </c:pt>
                <c:pt idx="15">
                  <c:v>-1.8981520528061015E-3</c:v>
                </c:pt>
                <c:pt idx="16">
                  <c:v>-1.7751588267051778E-3</c:v>
                </c:pt>
                <c:pt idx="17">
                  <c:v>-1.7485741402311821E-3</c:v>
                </c:pt>
                <c:pt idx="18">
                  <c:v>-1.6436778159196362E-3</c:v>
                </c:pt>
                <c:pt idx="19">
                  <c:v>-1.6020138805071403E-3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'Chg_T_den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'!$B$6:$U$6</c:f>
              <c:numCache>
                <c:formatCode>General</c:formatCode>
                <c:ptCount val="20"/>
                <c:pt idx="0">
                  <c:v>-4.0796506253501404E-3</c:v>
                </c:pt>
                <c:pt idx="1">
                  <c:v>-3.5978389758643415E-3</c:v>
                </c:pt>
                <c:pt idx="2">
                  <c:v>-3.2214514905045681E-3</c:v>
                </c:pt>
                <c:pt idx="3">
                  <c:v>-3.0113182247359397E-3</c:v>
                </c:pt>
                <c:pt idx="4">
                  <c:v>-2.7822456970902636E-3</c:v>
                </c:pt>
                <c:pt idx="5">
                  <c:v>-2.4741145948102118E-3</c:v>
                </c:pt>
                <c:pt idx="6">
                  <c:v>-2.336025795363645E-3</c:v>
                </c:pt>
                <c:pt idx="7">
                  <c:v>-2.1954563873968352E-3</c:v>
                </c:pt>
                <c:pt idx="8">
                  <c:v>-1.9769570247781892E-3</c:v>
                </c:pt>
                <c:pt idx="9">
                  <c:v>-1.8882995067991662E-3</c:v>
                </c:pt>
                <c:pt idx="10">
                  <c:v>-1.8189371208788151E-3</c:v>
                </c:pt>
                <c:pt idx="11">
                  <c:v>-1.7166518171339729E-3</c:v>
                </c:pt>
                <c:pt idx="12">
                  <c:v>-1.6743530649723031E-3</c:v>
                </c:pt>
                <c:pt idx="13">
                  <c:v>-1.5233376409976497E-3</c:v>
                </c:pt>
                <c:pt idx="14">
                  <c:v>-1.3821128783989261E-3</c:v>
                </c:pt>
                <c:pt idx="15">
                  <c:v>-1.3493416590876892E-3</c:v>
                </c:pt>
                <c:pt idx="16">
                  <c:v>-1.2597837590956626E-3</c:v>
                </c:pt>
                <c:pt idx="17">
                  <c:v>-1.2920094185800977E-3</c:v>
                </c:pt>
                <c:pt idx="18">
                  <c:v>-1.1546109816175771E-3</c:v>
                </c:pt>
                <c:pt idx="19">
                  <c:v>-1.0492808869620074E-3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'Chg_T_den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'!$B$7:$U$7</c:f>
              <c:numCache>
                <c:formatCode>General</c:formatCode>
                <c:ptCount val="20"/>
                <c:pt idx="0">
                  <c:v>-4.2285451328998224E-3</c:v>
                </c:pt>
                <c:pt idx="1">
                  <c:v>-3.8419292148462029E-3</c:v>
                </c:pt>
                <c:pt idx="2">
                  <c:v>-3.4367702163815642E-3</c:v>
                </c:pt>
                <c:pt idx="3">
                  <c:v>-3.2268448092434804E-3</c:v>
                </c:pt>
                <c:pt idx="4">
                  <c:v>-3.0702269545170814E-3</c:v>
                </c:pt>
                <c:pt idx="5">
                  <c:v>-2.6925418108431328E-3</c:v>
                </c:pt>
                <c:pt idx="6">
                  <c:v>-2.5007020174281111E-3</c:v>
                </c:pt>
                <c:pt idx="7">
                  <c:v>-2.1905241774051783E-3</c:v>
                </c:pt>
                <c:pt idx="8">
                  <c:v>-2.1888275957183683E-3</c:v>
                </c:pt>
                <c:pt idx="9">
                  <c:v>-2.1322499726942837E-3</c:v>
                </c:pt>
                <c:pt idx="10">
                  <c:v>-2.0134777129659359E-3</c:v>
                </c:pt>
                <c:pt idx="11">
                  <c:v>-1.9365550385173637E-3</c:v>
                </c:pt>
                <c:pt idx="12">
                  <c:v>-1.9292913306449525E-3</c:v>
                </c:pt>
                <c:pt idx="13">
                  <c:v>-1.8424726073861136E-3</c:v>
                </c:pt>
                <c:pt idx="14">
                  <c:v>-1.9064307479623706E-3</c:v>
                </c:pt>
                <c:pt idx="15">
                  <c:v>-1.8455993581298928E-3</c:v>
                </c:pt>
                <c:pt idx="16">
                  <c:v>-1.7257386784209619E-3</c:v>
                </c:pt>
                <c:pt idx="17">
                  <c:v>-1.6576742967856644E-3</c:v>
                </c:pt>
                <c:pt idx="18">
                  <c:v>-1.6336709406854484E-3</c:v>
                </c:pt>
                <c:pt idx="19">
                  <c:v>-1.6189251209590561E-3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'Chg_T_den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'!$B$8:$U$8</c:f>
              <c:numCache>
                <c:formatCode>General</c:formatCode>
                <c:ptCount val="20"/>
                <c:pt idx="0">
                  <c:v>-4.0829118898050177E-3</c:v>
                </c:pt>
                <c:pt idx="1">
                  <c:v>-3.6261251898461085E-3</c:v>
                </c:pt>
                <c:pt idx="2">
                  <c:v>-3.22013289624253E-3</c:v>
                </c:pt>
                <c:pt idx="3">
                  <c:v>-2.9736364497630588E-3</c:v>
                </c:pt>
                <c:pt idx="4">
                  <c:v>-2.7288589644013754E-3</c:v>
                </c:pt>
                <c:pt idx="5">
                  <c:v>-2.4715365510243727E-3</c:v>
                </c:pt>
                <c:pt idx="6">
                  <c:v>-2.3238424380861975E-3</c:v>
                </c:pt>
                <c:pt idx="7">
                  <c:v>-2.2567908228694456E-3</c:v>
                </c:pt>
                <c:pt idx="8">
                  <c:v>-1.9993725481711271E-3</c:v>
                </c:pt>
                <c:pt idx="9">
                  <c:v>-1.822395262284791E-3</c:v>
                </c:pt>
                <c:pt idx="10">
                  <c:v>-1.672592100540038E-3</c:v>
                </c:pt>
                <c:pt idx="11">
                  <c:v>-1.5368047114716875E-3</c:v>
                </c:pt>
                <c:pt idx="12">
                  <c:v>-1.4307007525966395E-3</c:v>
                </c:pt>
                <c:pt idx="13">
                  <c:v>-1.434493109701726E-3</c:v>
                </c:pt>
                <c:pt idx="14">
                  <c:v>-1.4990174428604472E-3</c:v>
                </c:pt>
                <c:pt idx="15">
                  <c:v>-1.5800493775363202E-3</c:v>
                </c:pt>
                <c:pt idx="16">
                  <c:v>-1.3807765497884461E-3</c:v>
                </c:pt>
                <c:pt idx="17">
                  <c:v>-1.4243736263075452E-3</c:v>
                </c:pt>
                <c:pt idx="18">
                  <c:v>-1.2861977111127904E-3</c:v>
                </c:pt>
                <c:pt idx="19">
                  <c:v>-1.087883775178722E-3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'Chg_T_den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'!$B$9:$U$9</c:f>
              <c:numCache>
                <c:formatCode>General</c:formatCode>
                <c:ptCount val="20"/>
                <c:pt idx="0">
                  <c:v>-4.2690772131655074E-3</c:v>
                </c:pt>
                <c:pt idx="1">
                  <c:v>-3.9276571496922848E-3</c:v>
                </c:pt>
                <c:pt idx="2">
                  <c:v>-3.7213813774916722E-3</c:v>
                </c:pt>
                <c:pt idx="3">
                  <c:v>-3.6815004204682452E-3</c:v>
                </c:pt>
                <c:pt idx="4">
                  <c:v>-3.5677916260177531E-3</c:v>
                </c:pt>
                <c:pt idx="5">
                  <c:v>-3.4307923884709427E-3</c:v>
                </c:pt>
                <c:pt idx="6">
                  <c:v>-3.1549832095509331E-3</c:v>
                </c:pt>
                <c:pt idx="7">
                  <c:v>-3.0478680352824627E-3</c:v>
                </c:pt>
                <c:pt idx="8">
                  <c:v>-2.9050876298807246E-3</c:v>
                </c:pt>
                <c:pt idx="9">
                  <c:v>-2.7897128430902406E-3</c:v>
                </c:pt>
                <c:pt idx="10">
                  <c:v>-2.7088256198432238E-3</c:v>
                </c:pt>
                <c:pt idx="11">
                  <c:v>-2.4877051756179705E-3</c:v>
                </c:pt>
                <c:pt idx="12">
                  <c:v>-2.2828747203129658E-3</c:v>
                </c:pt>
                <c:pt idx="13">
                  <c:v>-2.170585777006474E-3</c:v>
                </c:pt>
                <c:pt idx="14">
                  <c:v>-2.239501047549984E-3</c:v>
                </c:pt>
                <c:pt idx="15">
                  <c:v>-2.244580145407832E-3</c:v>
                </c:pt>
                <c:pt idx="16">
                  <c:v>-2.2271227841760108E-3</c:v>
                </c:pt>
                <c:pt idx="17">
                  <c:v>-2.2089100282264508E-3</c:v>
                </c:pt>
                <c:pt idx="18">
                  <c:v>-2.1409417047349292E-3</c:v>
                </c:pt>
                <c:pt idx="19">
                  <c:v>-2.0247946617522662E-3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'Chg_T_den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'!$B$10:$U$10</c:f>
              <c:numCache>
                <c:formatCode>General</c:formatCode>
                <c:ptCount val="20"/>
                <c:pt idx="0">
                  <c:v>-4.1947150759683036E-3</c:v>
                </c:pt>
                <c:pt idx="1">
                  <c:v>-3.7323249597097457E-3</c:v>
                </c:pt>
                <c:pt idx="2">
                  <c:v>-3.2912471251189267E-3</c:v>
                </c:pt>
                <c:pt idx="3">
                  <c:v>-3.0265121836967209E-3</c:v>
                </c:pt>
                <c:pt idx="4">
                  <c:v>-2.79955643536692E-3</c:v>
                </c:pt>
                <c:pt idx="5">
                  <c:v>-2.488142612623037E-3</c:v>
                </c:pt>
                <c:pt idx="6">
                  <c:v>-2.242204656973478E-3</c:v>
                </c:pt>
                <c:pt idx="7">
                  <c:v>-2.0343946542019462E-3</c:v>
                </c:pt>
                <c:pt idx="8">
                  <c:v>-1.8033623197953234E-3</c:v>
                </c:pt>
                <c:pt idx="9">
                  <c:v>-1.5573220067431569E-3</c:v>
                </c:pt>
                <c:pt idx="10">
                  <c:v>-1.5433173508040935E-3</c:v>
                </c:pt>
                <c:pt idx="11">
                  <c:v>-1.4538062907509888E-3</c:v>
                </c:pt>
                <c:pt idx="12">
                  <c:v>-1.3861869727796634E-3</c:v>
                </c:pt>
                <c:pt idx="13">
                  <c:v>-1.3123541612064498E-3</c:v>
                </c:pt>
                <c:pt idx="14">
                  <c:v>-1.2453746474227134E-3</c:v>
                </c:pt>
                <c:pt idx="15">
                  <c:v>-1.3708875504102023E-3</c:v>
                </c:pt>
                <c:pt idx="16">
                  <c:v>-1.2924617995264851E-3</c:v>
                </c:pt>
                <c:pt idx="17">
                  <c:v>-1.2263020584583051E-3</c:v>
                </c:pt>
                <c:pt idx="18">
                  <c:v>-1.1793094843817341E-3</c:v>
                </c:pt>
                <c:pt idx="19">
                  <c:v>-1.051996889390686E-3</c:v>
                </c:pt>
              </c:numCache>
            </c:numRef>
          </c:yVal>
          <c:smooth val="1"/>
        </c:ser>
        <c:axId val="67590784"/>
        <c:axId val="67605248"/>
      </c:scatterChart>
      <c:valAx>
        <c:axId val="6759078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05248"/>
        <c:crosses val="autoZero"/>
        <c:crossBetween val="midCat"/>
      </c:valAx>
      <c:valAx>
        <c:axId val="67605248"/>
        <c:scaling>
          <c:orientation val="minMax"/>
        </c:scaling>
        <c:axPos val="l"/>
        <c:numFmt formatCode="General" sourceLinked="1"/>
        <c:tickLblPos val="nextTo"/>
        <c:crossAx val="67590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0757164124"/>
          <c:y val="7.9861568550468623E-2"/>
          <c:w val="0.15000025581597604"/>
          <c:h val="0.8368085152790808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' Chg_R_posneg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'!$B$3:$U$3</c:f>
              <c:numCache>
                <c:formatCode>General</c:formatCode>
                <c:ptCount val="20"/>
                <c:pt idx="0">
                  <c:v>-0.34525391818732293</c:v>
                </c:pt>
                <c:pt idx="1">
                  <c:v>-0.42201527015832363</c:v>
                </c:pt>
                <c:pt idx="2">
                  <c:v>-0.49710547810475064</c:v>
                </c:pt>
                <c:pt idx="3">
                  <c:v>-0.53465607465971987</c:v>
                </c:pt>
                <c:pt idx="4">
                  <c:v>-0.57204817802641672</c:v>
                </c:pt>
                <c:pt idx="5">
                  <c:v>-0.6127585907168106</c:v>
                </c:pt>
                <c:pt idx="6">
                  <c:v>-0.63281515990211279</c:v>
                </c:pt>
                <c:pt idx="7">
                  <c:v>-0.6667568175385129</c:v>
                </c:pt>
                <c:pt idx="8">
                  <c:v>-0.69671635485803973</c:v>
                </c:pt>
                <c:pt idx="9">
                  <c:v>-0.69894176846157285</c:v>
                </c:pt>
                <c:pt idx="10">
                  <c:v>-0.69367918485637559</c:v>
                </c:pt>
                <c:pt idx="11">
                  <c:v>-0.72520802827247766</c:v>
                </c:pt>
                <c:pt idx="12">
                  <c:v>-0.7315006101844288</c:v>
                </c:pt>
                <c:pt idx="13">
                  <c:v>-0.73572395893211018</c:v>
                </c:pt>
                <c:pt idx="14">
                  <c:v>-0.75472986089060345</c:v>
                </c:pt>
                <c:pt idx="15">
                  <c:v>-0.77029687774895461</c:v>
                </c:pt>
                <c:pt idx="16">
                  <c:v>-0.77316403857797544</c:v>
                </c:pt>
                <c:pt idx="17">
                  <c:v>-0.78367872906783353</c:v>
                </c:pt>
                <c:pt idx="18">
                  <c:v>-0.79557526161826186</c:v>
                </c:pt>
                <c:pt idx="19">
                  <c:v>-0.7956702465217016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 Chg_R_posneg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'!$B$4:$U$4</c:f>
              <c:numCache>
                <c:formatCode>General</c:formatCode>
                <c:ptCount val="20"/>
                <c:pt idx="0">
                  <c:v>-0.34396809101338938</c:v>
                </c:pt>
                <c:pt idx="1">
                  <c:v>-0.41830949313773114</c:v>
                </c:pt>
                <c:pt idx="2">
                  <c:v>-0.49256343516746293</c:v>
                </c:pt>
                <c:pt idx="3">
                  <c:v>-0.52993914417807708</c:v>
                </c:pt>
                <c:pt idx="4">
                  <c:v>-0.56177340372348639</c:v>
                </c:pt>
                <c:pt idx="5">
                  <c:v>-0.61208857581921328</c:v>
                </c:pt>
                <c:pt idx="6">
                  <c:v>-0.61869267991295251</c:v>
                </c:pt>
                <c:pt idx="7">
                  <c:v>-0.64771459453942803</c:v>
                </c:pt>
                <c:pt idx="8">
                  <c:v>-0.66379286879712374</c:v>
                </c:pt>
                <c:pt idx="9">
                  <c:v>-0.69399123921596739</c:v>
                </c:pt>
                <c:pt idx="10">
                  <c:v>-0.71003603328828446</c:v>
                </c:pt>
                <c:pt idx="11">
                  <c:v>-0.72223939501852541</c:v>
                </c:pt>
                <c:pt idx="12">
                  <c:v>-0.71696970257143855</c:v>
                </c:pt>
                <c:pt idx="13">
                  <c:v>-0.73392092636964612</c:v>
                </c:pt>
                <c:pt idx="14">
                  <c:v>-0.752982595755046</c:v>
                </c:pt>
                <c:pt idx="15">
                  <c:v>-0.75357567404215653</c:v>
                </c:pt>
                <c:pt idx="16">
                  <c:v>-0.765170713737235</c:v>
                </c:pt>
                <c:pt idx="17">
                  <c:v>-0.76822505727614698</c:v>
                </c:pt>
                <c:pt idx="18">
                  <c:v>-0.77856249825747592</c:v>
                </c:pt>
                <c:pt idx="19">
                  <c:v>-0.80865373916207295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 Chg_R_posneg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'!$B$5:$U$5</c:f>
              <c:numCache>
                <c:formatCode>General</c:formatCode>
                <c:ptCount val="20"/>
                <c:pt idx="0">
                  <c:v>-0.3120395457672609</c:v>
                </c:pt>
                <c:pt idx="1">
                  <c:v>-0.36922856093403228</c:v>
                </c:pt>
                <c:pt idx="2">
                  <c:v>-0.43025807161995189</c:v>
                </c:pt>
                <c:pt idx="3">
                  <c:v>-0.45349333842380823</c:v>
                </c:pt>
                <c:pt idx="4">
                  <c:v>-0.47902941007057059</c:v>
                </c:pt>
                <c:pt idx="5">
                  <c:v>-0.50693528695688872</c:v>
                </c:pt>
                <c:pt idx="6">
                  <c:v>-0.53152932847446788</c:v>
                </c:pt>
                <c:pt idx="7">
                  <c:v>-0.54552264990971555</c:v>
                </c:pt>
                <c:pt idx="8">
                  <c:v>-0.57537576628743459</c:v>
                </c:pt>
                <c:pt idx="9">
                  <c:v>-0.58508803507433416</c:v>
                </c:pt>
                <c:pt idx="10">
                  <c:v>-0.6186203857412369</c:v>
                </c:pt>
                <c:pt idx="11">
                  <c:v>-0.60936766161024136</c:v>
                </c:pt>
                <c:pt idx="12">
                  <c:v>-0.61571743477793017</c:v>
                </c:pt>
                <c:pt idx="13">
                  <c:v>-0.63807921413546875</c:v>
                </c:pt>
                <c:pt idx="14">
                  <c:v>-0.66120161082446993</c:v>
                </c:pt>
                <c:pt idx="15">
                  <c:v>-0.67180032895048714</c:v>
                </c:pt>
                <c:pt idx="16">
                  <c:v>-0.69191061571197687</c:v>
                </c:pt>
                <c:pt idx="17">
                  <c:v>-0.69547404887455455</c:v>
                </c:pt>
                <c:pt idx="18">
                  <c:v>-0.71206552161758419</c:v>
                </c:pt>
                <c:pt idx="19">
                  <c:v>-0.71620172937822502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 Chg_R_posneg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'!$B$6:$U$6</c:f>
              <c:numCache>
                <c:formatCode>General</c:formatCode>
                <c:ptCount val="20"/>
                <c:pt idx="0">
                  <c:v>-0.34174728593427889</c:v>
                </c:pt>
                <c:pt idx="1">
                  <c:v>-0.4160879678357946</c:v>
                </c:pt>
                <c:pt idx="2">
                  <c:v>-0.48827126651108427</c:v>
                </c:pt>
                <c:pt idx="3">
                  <c:v>-0.52320702599854541</c:v>
                </c:pt>
                <c:pt idx="4">
                  <c:v>-0.55745781817151341</c:v>
                </c:pt>
                <c:pt idx="5">
                  <c:v>-0.6002354080410377</c:v>
                </c:pt>
                <c:pt idx="6">
                  <c:v>-0.62087193562935761</c:v>
                </c:pt>
                <c:pt idx="7">
                  <c:v>-0.64390560638879846</c:v>
                </c:pt>
                <c:pt idx="8">
                  <c:v>-0.67530739825719566</c:v>
                </c:pt>
                <c:pt idx="9">
                  <c:v>-0.68603030302254253</c:v>
                </c:pt>
                <c:pt idx="10">
                  <c:v>-0.69461381235150288</c:v>
                </c:pt>
                <c:pt idx="11">
                  <c:v>-0.71078843995510665</c:v>
                </c:pt>
                <c:pt idx="12">
                  <c:v>-0.71764652193477718</c:v>
                </c:pt>
                <c:pt idx="13">
                  <c:v>-0.74178735182014144</c:v>
                </c:pt>
                <c:pt idx="14">
                  <c:v>-0.76397650559237174</c:v>
                </c:pt>
                <c:pt idx="15">
                  <c:v>-0.76765004518316338</c:v>
                </c:pt>
                <c:pt idx="16">
                  <c:v>-0.7781619041483635</c:v>
                </c:pt>
                <c:pt idx="17">
                  <c:v>-0.77283192144629498</c:v>
                </c:pt>
                <c:pt idx="18">
                  <c:v>-0.7982407817345919</c:v>
                </c:pt>
                <c:pt idx="19">
                  <c:v>-0.81373200192289252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 Chg_R_posneg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'!$B$7:$U$7</c:f>
              <c:numCache>
                <c:formatCode>General</c:formatCode>
                <c:ptCount val="20"/>
                <c:pt idx="0">
                  <c:v>-0.32244926322202333</c:v>
                </c:pt>
                <c:pt idx="1">
                  <c:v>-0.37926535456992599</c:v>
                </c:pt>
                <c:pt idx="2">
                  <c:v>-0.44584807136574944</c:v>
                </c:pt>
                <c:pt idx="3">
                  <c:v>-0.475631277896581</c:v>
                </c:pt>
                <c:pt idx="4">
                  <c:v>-0.50140328292580727</c:v>
                </c:pt>
                <c:pt idx="5">
                  <c:v>-0.55225983610597207</c:v>
                </c:pt>
                <c:pt idx="6">
                  <c:v>-0.57505951698206204</c:v>
                </c:pt>
                <c:pt idx="7">
                  <c:v>-0.62229000943440593</c:v>
                </c:pt>
                <c:pt idx="8">
                  <c:v>-0.62309233909299977</c:v>
                </c:pt>
                <c:pt idx="9">
                  <c:v>-0.63020624993386032</c:v>
                </c:pt>
                <c:pt idx="10">
                  <c:v>-0.64752798159955971</c:v>
                </c:pt>
                <c:pt idx="11">
                  <c:v>-0.65958472653650257</c:v>
                </c:pt>
                <c:pt idx="12">
                  <c:v>-0.6596510628425728</c:v>
                </c:pt>
                <c:pt idx="13">
                  <c:v>-0.67240230492700359</c:v>
                </c:pt>
                <c:pt idx="14">
                  <c:v>-0.66501017903348991</c:v>
                </c:pt>
                <c:pt idx="15">
                  <c:v>-0.67600514465241757</c:v>
                </c:pt>
                <c:pt idx="16">
                  <c:v>-0.69082672311463567</c:v>
                </c:pt>
                <c:pt idx="17">
                  <c:v>-0.70136070470986189</c:v>
                </c:pt>
                <c:pt idx="18">
                  <c:v>-0.70429852762163647</c:v>
                </c:pt>
                <c:pt idx="19">
                  <c:v>-0.70624633753840937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 Chg_R_posneg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'!$B$8:$U$8</c:f>
              <c:numCache>
                <c:formatCode>General</c:formatCode>
                <c:ptCount val="20"/>
                <c:pt idx="0">
                  <c:v>-0.34116519424447717</c:v>
                </c:pt>
                <c:pt idx="1">
                  <c:v>-0.41170422197828777</c:v>
                </c:pt>
                <c:pt idx="2">
                  <c:v>-0.48615201778008665</c:v>
                </c:pt>
                <c:pt idx="3">
                  <c:v>-0.52757287026120114</c:v>
                </c:pt>
                <c:pt idx="4">
                  <c:v>-0.56499921593225655</c:v>
                </c:pt>
                <c:pt idx="5">
                  <c:v>-0.59967273117342845</c:v>
                </c:pt>
                <c:pt idx="6">
                  <c:v>-0.61895744540788711</c:v>
                </c:pt>
                <c:pt idx="7">
                  <c:v>-0.63231032533978904</c:v>
                </c:pt>
                <c:pt idx="8">
                  <c:v>-0.66810100900809488</c:v>
                </c:pt>
                <c:pt idx="9">
                  <c:v>-0.69566150997899356</c:v>
                </c:pt>
                <c:pt idx="10">
                  <c:v>-0.71932894336520248</c:v>
                </c:pt>
                <c:pt idx="11">
                  <c:v>-0.73908318371918946</c:v>
                </c:pt>
                <c:pt idx="12">
                  <c:v>-0.75538388438934601</c:v>
                </c:pt>
                <c:pt idx="13">
                  <c:v>-0.75738344763233012</c:v>
                </c:pt>
                <c:pt idx="14">
                  <c:v>-0.74579843906102283</c:v>
                </c:pt>
                <c:pt idx="15">
                  <c:v>-0.73248402501824073</c:v>
                </c:pt>
                <c:pt idx="16">
                  <c:v>-0.76256790570252253</c:v>
                </c:pt>
                <c:pt idx="17">
                  <c:v>-0.75395799433574295</c:v>
                </c:pt>
                <c:pt idx="18">
                  <c:v>-0.77626329006314354</c:v>
                </c:pt>
                <c:pt idx="19">
                  <c:v>-0.80628803367047785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 Chg_R_posneg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'!$B$9:$U$9</c:f>
              <c:numCache>
                <c:formatCode>General</c:formatCode>
                <c:ptCount val="20"/>
                <c:pt idx="0">
                  <c:v>-0.3230445820036334</c:v>
                </c:pt>
                <c:pt idx="1">
                  <c:v>-0.3782792570700575</c:v>
                </c:pt>
                <c:pt idx="2">
                  <c:v>-0.42306796243323247</c:v>
                </c:pt>
                <c:pt idx="3">
                  <c:v>-0.43388405989902395</c:v>
                </c:pt>
                <c:pt idx="4">
                  <c:v>-0.4539765201948221</c:v>
                </c:pt>
                <c:pt idx="5">
                  <c:v>-0.4743572770992811</c:v>
                </c:pt>
                <c:pt idx="6">
                  <c:v>-0.50844352977941609</c:v>
                </c:pt>
                <c:pt idx="7">
                  <c:v>-0.52260539366208747</c:v>
                </c:pt>
                <c:pt idx="8">
                  <c:v>-0.53572779976693019</c:v>
                </c:pt>
                <c:pt idx="9">
                  <c:v>-0.54910829584679899</c:v>
                </c:pt>
                <c:pt idx="10">
                  <c:v>-0.56237293626302665</c:v>
                </c:pt>
                <c:pt idx="11">
                  <c:v>-0.58820001539911382</c:v>
                </c:pt>
                <c:pt idx="12">
                  <c:v>-0.61581858328288042</c:v>
                </c:pt>
                <c:pt idx="13">
                  <c:v>-0.62950963387061132</c:v>
                </c:pt>
                <c:pt idx="14">
                  <c:v>-0.6205499342132651</c:v>
                </c:pt>
                <c:pt idx="15">
                  <c:v>-0.61748013570316385</c:v>
                </c:pt>
                <c:pt idx="16">
                  <c:v>-0.6219640145589953</c:v>
                </c:pt>
                <c:pt idx="17">
                  <c:v>-0.62271461653753646</c:v>
                </c:pt>
                <c:pt idx="18">
                  <c:v>-0.6321991925306627</c:v>
                </c:pt>
                <c:pt idx="19">
                  <c:v>-0.64849706015325626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 Chg_R_posneg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'!$B$10:$U$10</c:f>
              <c:numCache>
                <c:formatCode>General</c:formatCode>
                <c:ptCount val="20"/>
                <c:pt idx="0">
                  <c:v>-0.32530357920691777</c:v>
                </c:pt>
                <c:pt idx="1">
                  <c:v>-0.39169352781578276</c:v>
                </c:pt>
                <c:pt idx="2">
                  <c:v>-0.46509181659707949</c:v>
                </c:pt>
                <c:pt idx="3">
                  <c:v>-0.50541987958010526</c:v>
                </c:pt>
                <c:pt idx="4">
                  <c:v>-0.5399597038801951</c:v>
                </c:pt>
                <c:pt idx="5">
                  <c:v>-0.58425659187532475</c:v>
                </c:pt>
                <c:pt idx="6">
                  <c:v>-0.61840348422131541</c:v>
                </c:pt>
                <c:pt idx="7">
                  <c:v>-0.64581901123928331</c:v>
                </c:pt>
                <c:pt idx="8">
                  <c:v>-0.68183955858917056</c:v>
                </c:pt>
                <c:pt idx="9">
                  <c:v>-0.72128459931929434</c:v>
                </c:pt>
                <c:pt idx="10">
                  <c:v>-0.72634786593250045</c:v>
                </c:pt>
                <c:pt idx="11">
                  <c:v>-0.74182762979229666</c:v>
                </c:pt>
                <c:pt idx="12">
                  <c:v>-0.75272909702223312</c:v>
                </c:pt>
                <c:pt idx="13">
                  <c:v>-0.76591815128238938</c:v>
                </c:pt>
                <c:pt idx="14">
                  <c:v>-0.77613637917851819</c:v>
                </c:pt>
                <c:pt idx="15">
                  <c:v>-0.75535755782648373</c:v>
                </c:pt>
                <c:pt idx="16">
                  <c:v>-0.76833868798357896</c:v>
                </c:pt>
                <c:pt idx="17">
                  <c:v>-0.77759280884082949</c:v>
                </c:pt>
                <c:pt idx="18">
                  <c:v>-0.78480782696780893</c:v>
                </c:pt>
                <c:pt idx="19">
                  <c:v>-0.80607597452426216</c:v>
                </c:pt>
              </c:numCache>
            </c:numRef>
          </c:yVal>
          <c:smooth val="1"/>
        </c:ser>
        <c:axId val="67638784"/>
        <c:axId val="67640704"/>
      </c:scatterChart>
      <c:valAx>
        <c:axId val="6763878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40704"/>
        <c:crosses val="autoZero"/>
        <c:crossBetween val="midCat"/>
      </c:valAx>
      <c:valAx>
        <c:axId val="67640704"/>
        <c:scaling>
          <c:orientation val="minMax"/>
        </c:scaling>
        <c:axPos val="l"/>
        <c:numFmt formatCode="General" sourceLinked="1"/>
        <c:tickLblPos val="nextTo"/>
        <c:crossAx val="67638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547244091"/>
          <c:y val="7.9861355565848391E-2"/>
          <c:w val="0.15000020505249356"/>
          <c:h val="0.8368083989501314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136196983159209"/>
          <c:y val="4.9895178197064946E-2"/>
          <c:w val="0.73632934015543772"/>
          <c:h val="0.84318658280922376"/>
        </c:manualLayout>
      </c:layout>
      <c:scatterChart>
        <c:scatterStyle val="smoothMarker"/>
        <c:ser>
          <c:idx val="0"/>
          <c:order val="0"/>
          <c:tx>
            <c:strRef>
              <c:f>'Chg_R_pos_tchg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'!$B$3:$U$3</c:f>
              <c:numCache>
                <c:formatCode>General</c:formatCode>
                <c:ptCount val="20"/>
                <c:pt idx="0">
                  <c:v>-0.52730963617450122</c:v>
                </c:pt>
                <c:pt idx="1">
                  <c:v>-0.73014951497753844</c:v>
                </c:pt>
                <c:pt idx="2">
                  <c:v>-0.9884885526915631</c:v>
                </c:pt>
                <c:pt idx="3">
                  <c:v>-1.1489482198972636</c:v>
                </c:pt>
                <c:pt idx="4">
                  <c:v>-1.3367116312025613</c:v>
                </c:pt>
                <c:pt idx="5">
                  <c:v>-1.5823684555096242</c:v>
                </c:pt>
                <c:pt idx="6">
                  <c:v>-1.7234239837718015</c:v>
                </c:pt>
                <c:pt idx="7">
                  <c:v>-2.0008115773398303</c:v>
                </c:pt>
                <c:pt idx="8">
                  <c:v>-2.2972434089939879</c:v>
                </c:pt>
                <c:pt idx="9">
                  <c:v>-2.3216165354122191</c:v>
                </c:pt>
                <c:pt idx="10">
                  <c:v>-2.2645512500713694</c:v>
                </c:pt>
                <c:pt idx="11">
                  <c:v>-2.6391165058911477</c:v>
                </c:pt>
                <c:pt idx="12">
                  <c:v>-2.7244032498058464</c:v>
                </c:pt>
                <c:pt idx="13">
                  <c:v>-2.7839222805033246</c:v>
                </c:pt>
                <c:pt idx="14">
                  <c:v>-3.077137166518161</c:v>
                </c:pt>
                <c:pt idx="15">
                  <c:v>-3.3534453959536856</c:v>
                </c:pt>
                <c:pt idx="16">
                  <c:v>-3.4084720682339977</c:v>
                </c:pt>
                <c:pt idx="17">
                  <c:v>-3.622753905294767</c:v>
                </c:pt>
                <c:pt idx="18">
                  <c:v>-3.8917758580305604</c:v>
                </c:pt>
                <c:pt idx="19">
                  <c:v>-3.8940498531272811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'Chg_R_pos_tchg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'!$B$4:$U$4</c:f>
              <c:numCache>
                <c:formatCode>General</c:formatCode>
                <c:ptCount val="20"/>
                <c:pt idx="0">
                  <c:v>-0.52431609850308314</c:v>
                </c:pt>
                <c:pt idx="1">
                  <c:v>-0.71912724757046331</c:v>
                </c:pt>
                <c:pt idx="2">
                  <c:v>-0.97068967690575769</c:v>
                </c:pt>
                <c:pt idx="3">
                  <c:v>-1.127384119767757</c:v>
                </c:pt>
                <c:pt idx="4">
                  <c:v>-1.2819244849507418</c:v>
                </c:pt>
                <c:pt idx="5">
                  <c:v>-1.5779080936114647</c:v>
                </c:pt>
                <c:pt idx="6">
                  <c:v>-1.6225565241488491</c:v>
                </c:pt>
                <c:pt idx="7">
                  <c:v>-1.8386075168019438</c:v>
                </c:pt>
                <c:pt idx="8">
                  <c:v>-1.9743568984459572</c:v>
                </c:pt>
                <c:pt idx="9">
                  <c:v>-2.267880296753189</c:v>
                </c:pt>
                <c:pt idx="10">
                  <c:v>-2.4487043729616502</c:v>
                </c:pt>
                <c:pt idx="11">
                  <c:v>-2.6002225732000244</c:v>
                </c:pt>
                <c:pt idx="12">
                  <c:v>-2.5331906480874395</c:v>
                </c:pt>
                <c:pt idx="13">
                  <c:v>-2.758281274645574</c:v>
                </c:pt>
                <c:pt idx="14">
                  <c:v>-3.048297742649555</c:v>
                </c:pt>
                <c:pt idx="15">
                  <c:v>-3.0580409264102961</c:v>
                </c:pt>
                <c:pt idx="16">
                  <c:v>-3.2584126363227046</c:v>
                </c:pt>
                <c:pt idx="17">
                  <c:v>-3.314530243208579</c:v>
                </c:pt>
                <c:pt idx="18">
                  <c:v>-3.5159469020868364</c:v>
                </c:pt>
                <c:pt idx="19">
                  <c:v>-4.2261277310614078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'Chg_R_pos_tchg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'!$B$5:$U$5</c:f>
              <c:numCache>
                <c:formatCode>General</c:formatCode>
                <c:ptCount val="20"/>
                <c:pt idx="0">
                  <c:v>-0.45357192240834387</c:v>
                </c:pt>
                <c:pt idx="1">
                  <c:v>-0.58536030337831668</c:v>
                </c:pt>
                <c:pt idx="2">
                  <c:v>-0.75518063563148341</c:v>
                </c:pt>
                <c:pt idx="3">
                  <c:v>-0.82980386207165013</c:v>
                </c:pt>
                <c:pt idx="4">
                  <c:v>-0.91949415059199391</c:v>
                </c:pt>
                <c:pt idx="5">
                  <c:v>-1.0281313457379067</c:v>
                </c:pt>
                <c:pt idx="6">
                  <c:v>-1.1346053462505796</c:v>
                </c:pt>
                <c:pt idx="7">
                  <c:v>-1.2003296749581567</c:v>
                </c:pt>
                <c:pt idx="8">
                  <c:v>-1.3550233844564679</c:v>
                </c:pt>
                <c:pt idx="9">
                  <c:v>-1.4101498258290923</c:v>
                </c:pt>
                <c:pt idx="10">
                  <c:v>-1.6220593933516012</c:v>
                </c:pt>
                <c:pt idx="11">
                  <c:v>-1.5599519080323465</c:v>
                </c:pt>
                <c:pt idx="12">
                  <c:v>-1.6022518076564787</c:v>
                </c:pt>
                <c:pt idx="13">
                  <c:v>-1.7630355565549225</c:v>
                </c:pt>
                <c:pt idx="14">
                  <c:v>-1.9516078941033692</c:v>
                </c:pt>
                <c:pt idx="15">
                  <c:v>-2.0469256620587473</c:v>
                </c:pt>
                <c:pt idx="16">
                  <c:v>-2.245811283991308</c:v>
                </c:pt>
                <c:pt idx="17">
                  <c:v>-2.2837923871652674</c:v>
                </c:pt>
                <c:pt idx="18">
                  <c:v>-2.4730123520388734</c:v>
                </c:pt>
                <c:pt idx="19">
                  <c:v>-2.5236296465411687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'Chg_R_pos_tchg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'!$B$6:$U$6</c:f>
              <c:numCache>
                <c:formatCode>General</c:formatCode>
                <c:ptCount val="20"/>
                <c:pt idx="0">
                  <c:v>-0.51917337920791051</c:v>
                </c:pt>
                <c:pt idx="1">
                  <c:v>-0.71258673381606907</c:v>
                </c:pt>
                <c:pt idx="2">
                  <c:v>-0.95416034816356554</c:v>
                </c:pt>
                <c:pt idx="3">
                  <c:v>-1.0973463421819409</c:v>
                </c:pt>
                <c:pt idx="4">
                  <c:v>-1.2596715998195265</c:v>
                </c:pt>
                <c:pt idx="5">
                  <c:v>-1.501472166656157</c:v>
                </c:pt>
                <c:pt idx="6">
                  <c:v>-1.6376311699847734</c:v>
                </c:pt>
                <c:pt idx="7">
                  <c:v>-1.8082441564408374</c:v>
                </c:pt>
                <c:pt idx="8">
                  <c:v>-2.0798361115481172</c:v>
                </c:pt>
                <c:pt idx="9">
                  <c:v>-2.1850207508140458</c:v>
                </c:pt>
                <c:pt idx="10">
                  <c:v>-2.2745423350679208</c:v>
                </c:pt>
                <c:pt idx="11">
                  <c:v>-2.4576764491874856</c:v>
                </c:pt>
                <c:pt idx="12">
                  <c:v>-2.5416599322676059</c:v>
                </c:pt>
                <c:pt idx="13">
                  <c:v>-2.8727769807133852</c:v>
                </c:pt>
                <c:pt idx="14">
                  <c:v>-3.2368663446399686</c:v>
                </c:pt>
                <c:pt idx="15">
                  <c:v>-3.3038527844273022</c:v>
                </c:pt>
                <c:pt idx="16">
                  <c:v>-3.5077920280599222</c:v>
                </c:pt>
                <c:pt idx="17">
                  <c:v>-3.4020269325101893</c:v>
                </c:pt>
                <c:pt idx="18">
                  <c:v>-3.9564030263268095</c:v>
                </c:pt>
                <c:pt idx="19">
                  <c:v>-4.3686087267982554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'Chg_R_pos_tchg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'!$B$7:$U$7</c:f>
              <c:numCache>
                <c:formatCode>General</c:formatCode>
                <c:ptCount val="20"/>
                <c:pt idx="0">
                  <c:v>-0.4759042322873086</c:v>
                </c:pt>
                <c:pt idx="1">
                  <c:v>-0.61099433930766545</c:v>
                </c:pt>
                <c:pt idx="2">
                  <c:v>-0.80455927035132013</c:v>
                </c:pt>
                <c:pt idx="3">
                  <c:v>-0.90705501271827249</c:v>
                </c:pt>
                <c:pt idx="4">
                  <c:v>-1.0056289296650081</c:v>
                </c:pt>
                <c:pt idx="5">
                  <c:v>-1.2334382319042567</c:v>
                </c:pt>
                <c:pt idx="6">
                  <c:v>-1.3532707284040693</c:v>
                </c:pt>
                <c:pt idx="7">
                  <c:v>-1.647533888374439</c:v>
                </c:pt>
                <c:pt idx="8">
                  <c:v>-1.6531697381623247</c:v>
                </c:pt>
                <c:pt idx="9">
                  <c:v>-1.7042101166424377</c:v>
                </c:pt>
                <c:pt idx="10">
                  <c:v>-1.8371046431944249</c:v>
                </c:pt>
                <c:pt idx="11">
                  <c:v>-1.9375885218829039</c:v>
                </c:pt>
                <c:pt idx="12">
                  <c:v>-1.9381610777219893</c:v>
                </c:pt>
                <c:pt idx="13">
                  <c:v>-2.0525245294451069</c:v>
                </c:pt>
                <c:pt idx="14">
                  <c:v>-1.9851653316354732</c:v>
                </c:pt>
                <c:pt idx="15">
                  <c:v>-2.0864687617561017</c:v>
                </c:pt>
                <c:pt idx="16">
                  <c:v>-2.2344321930862781</c:v>
                </c:pt>
                <c:pt idx="17">
                  <c:v>-2.3485211617194124</c:v>
                </c:pt>
                <c:pt idx="18">
                  <c:v>-2.3817890454074382</c:v>
                </c:pt>
                <c:pt idx="19">
                  <c:v>-2.4042128755782017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'Chg_R_pos_tchg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'!$B$8:$U$8</c:f>
              <c:numCache>
                <c:formatCode>General</c:formatCode>
                <c:ptCount val="20"/>
                <c:pt idx="0">
                  <c:v>-0.51783116384272376</c:v>
                </c:pt>
                <c:pt idx="1">
                  <c:v>-0.69982521948864473</c:v>
                </c:pt>
                <c:pt idx="2">
                  <c:v>-0.94610085979091463</c:v>
                </c:pt>
                <c:pt idx="3">
                  <c:v>-1.1167285641552633</c:v>
                </c:pt>
                <c:pt idx="4">
                  <c:v>-1.2988464311463592</c:v>
                </c:pt>
                <c:pt idx="5">
                  <c:v>-1.4979562419796506</c:v>
                </c:pt>
                <c:pt idx="6">
                  <c:v>-1.6243787943067154</c:v>
                </c:pt>
                <c:pt idx="7">
                  <c:v>-1.7196847475364085</c:v>
                </c:pt>
                <c:pt idx="8">
                  <c:v>-2.0129648692556272</c:v>
                </c:pt>
                <c:pt idx="9">
                  <c:v>-2.2858150802120916</c:v>
                </c:pt>
                <c:pt idx="10">
                  <c:v>-2.5628896402423718</c:v>
                </c:pt>
                <c:pt idx="11">
                  <c:v>-2.8326391309472165</c:v>
                </c:pt>
                <c:pt idx="12">
                  <c:v>-3.0880380979953959</c:v>
                </c:pt>
                <c:pt idx="13">
                  <c:v>-3.1217303198858586</c:v>
                </c:pt>
                <c:pt idx="14">
                  <c:v>-2.9338861504475844</c:v>
                </c:pt>
                <c:pt idx="15">
                  <c:v>-2.7380945196569502</c:v>
                </c:pt>
                <c:pt idx="16">
                  <c:v>-3.2117305285068376</c:v>
                </c:pt>
                <c:pt idx="17">
                  <c:v>-3.0643466439814993</c:v>
                </c:pt>
                <c:pt idx="18">
                  <c:v>-3.4695392199260566</c:v>
                </c:pt>
                <c:pt idx="19">
                  <c:v>-4.1623036973302234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'Chg_R_pos_tchg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'!$B$9:$U$9</c:f>
              <c:numCache>
                <c:formatCode>General</c:formatCode>
                <c:ptCount val="20"/>
                <c:pt idx="0">
                  <c:v>-0.47720215159776919</c:v>
                </c:pt>
                <c:pt idx="1">
                  <c:v>-0.60843917686800286</c:v>
                </c:pt>
                <c:pt idx="2">
                  <c:v>-0.73330641199531477</c:v>
                </c:pt>
                <c:pt idx="3">
                  <c:v>-0.76642261622527996</c:v>
                </c:pt>
                <c:pt idx="4">
                  <c:v>-0.83142307425461204</c:v>
                </c:pt>
                <c:pt idx="5">
                  <c:v>-0.90243288156178958</c:v>
                </c:pt>
                <c:pt idx="6">
                  <c:v>-1.0343542615790497</c:v>
                </c:pt>
                <c:pt idx="7">
                  <c:v>-1.0947031799772229</c:v>
                </c:pt>
                <c:pt idx="8">
                  <c:v>-1.1539088480809081</c:v>
                </c:pt>
                <c:pt idx="9">
                  <c:v>-1.2178274534415179</c:v>
                </c:pt>
                <c:pt idx="10">
                  <c:v>-1.2850506352619666</c:v>
                </c:pt>
                <c:pt idx="11">
                  <c:v>-1.4283633739549393</c:v>
                </c:pt>
                <c:pt idx="12">
                  <c:v>-1.6029369367866118</c:v>
                </c:pt>
                <c:pt idx="13">
                  <c:v>-1.6991255142401294</c:v>
                </c:pt>
                <c:pt idx="14">
                  <c:v>-1.6353928755464686</c:v>
                </c:pt>
                <c:pt idx="15">
                  <c:v>-1.614243319986117</c:v>
                </c:pt>
                <c:pt idx="16">
                  <c:v>-1.6452508187373533</c:v>
                </c:pt>
                <c:pt idx="17">
                  <c:v>-1.6505134941160287</c:v>
                </c:pt>
                <c:pt idx="18">
                  <c:v>-1.718862981515797</c:v>
                </c:pt>
                <c:pt idx="19">
                  <c:v>-1.8449264192100436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'Chg_R_pos_tchg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'!$B$10:$U$10</c:f>
              <c:numCache>
                <c:formatCode>General</c:formatCode>
                <c:ptCount val="20"/>
                <c:pt idx="0">
                  <c:v>-0.48214807309120561</c:v>
                </c:pt>
                <c:pt idx="1">
                  <c:v>-0.6439082037206465</c:v>
                </c:pt>
                <c:pt idx="2">
                  <c:v>-0.86947971825427894</c:v>
                </c:pt>
                <c:pt idx="3">
                  <c:v>-1.0219170943446083</c:v>
                </c:pt>
                <c:pt idx="4">
                  <c:v>-1.1737226248101915</c:v>
                </c:pt>
                <c:pt idx="5">
                  <c:v>-1.4053297790355224</c:v>
                </c:pt>
                <c:pt idx="6">
                  <c:v>-1.6205690006351432</c:v>
                </c:pt>
                <c:pt idx="7">
                  <c:v>-1.8234152360887899</c:v>
                </c:pt>
                <c:pt idx="8">
                  <c:v>-2.1430683071901293</c:v>
                </c:pt>
                <c:pt idx="9">
                  <c:v>-2.5878892861955372</c:v>
                </c:pt>
                <c:pt idx="10">
                  <c:v>-2.6542744437481276</c:v>
                </c:pt>
                <c:pt idx="11">
                  <c:v>-2.8733811801607034</c:v>
                </c:pt>
                <c:pt idx="12">
                  <c:v>-3.044147483417869</c:v>
                </c:pt>
                <c:pt idx="13">
                  <c:v>-3.2720100062366226</c:v>
                </c:pt>
                <c:pt idx="14">
                  <c:v>-3.4670053862723944</c:v>
                </c:pt>
                <c:pt idx="15">
                  <c:v>-3.0875981743623018</c:v>
                </c:pt>
                <c:pt idx="16">
                  <c:v>-3.3166465358234531</c:v>
                </c:pt>
                <c:pt idx="17">
                  <c:v>-3.4962574941397846</c:v>
                </c:pt>
                <c:pt idx="18">
                  <c:v>-3.6470091635275583</c:v>
                </c:pt>
                <c:pt idx="19">
                  <c:v>-4.1566586324040156</c:v>
                </c:pt>
              </c:numCache>
            </c:numRef>
          </c:yVal>
          <c:smooth val="1"/>
        </c:ser>
        <c:axId val="67862912"/>
        <c:axId val="67865216"/>
      </c:scatterChart>
      <c:valAx>
        <c:axId val="67862912"/>
        <c:scaling>
          <c:orientation val="minMax"/>
          <c:max val="21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Probe radius (Å)</a:t>
                </a:r>
              </a:p>
            </c:rich>
          </c:tx>
        </c:title>
        <c:numFmt formatCode="General" sourceLinked="1"/>
        <c:tickLblPos val="high"/>
        <c:txPr>
          <a:bodyPr rot="0" vert="horz"/>
          <a:lstStyle/>
          <a:p>
            <a:pPr>
              <a:defRPr/>
            </a:pPr>
            <a:endParaRPr lang="en-US"/>
          </a:p>
        </c:txPr>
        <c:crossAx val="67865216"/>
        <c:crosses val="autoZero"/>
        <c:crossBetween val="midCat"/>
      </c:valAx>
      <c:valAx>
        <c:axId val="678652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Ratio [positive charge]/[negative charge]</a:t>
                </a:r>
              </a:p>
            </c:rich>
          </c:tx>
        </c:title>
        <c:numFmt formatCode="General" sourceLinked="1"/>
        <c:tickLblPos val="nextTo"/>
        <c:crossAx val="678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75161641380188"/>
          <c:y val="0.36145459317585349"/>
          <c:w val="0.19409887966338837"/>
          <c:h val="0.58393622047244065"/>
        </c:manualLayout>
      </c:layout>
      <c:spPr>
        <a:ln>
          <a:solidFill>
            <a:schemeClr val="accent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136196983159209"/>
          <c:y val="4.9895178197064946E-2"/>
          <c:w val="0.73632934015543772"/>
          <c:h val="0.84318658280922343"/>
        </c:manualLayout>
      </c:layout>
      <c:scatterChart>
        <c:scatterStyle val="smoothMarker"/>
        <c:ser>
          <c:idx val="0"/>
          <c:order val="0"/>
          <c:tx>
            <c:strRef>
              <c:f>'Chg_R_posneg_A '!$A$3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'!$B$3:$U$3</c:f>
              <c:numCache>
                <c:formatCode>General</c:formatCode>
                <c:ptCount val="20"/>
                <c:pt idx="0">
                  <c:v>0.21479990637968135</c:v>
                </c:pt>
                <c:pt idx="1">
                  <c:v>0.2361004737500533</c:v>
                </c:pt>
                <c:pt idx="2">
                  <c:v>0.26938741738734212</c:v>
                </c:pt>
                <c:pt idx="3">
                  <c:v>0.28852718303199704</c:v>
                </c:pt>
                <c:pt idx="4">
                  <c:v>0.31004927509156938</c:v>
                </c:pt>
                <c:pt idx="5">
                  <c:v>0.32453653839798741</c:v>
                </c:pt>
                <c:pt idx="6">
                  <c:v>0.33301357444357277</c:v>
                </c:pt>
                <c:pt idx="7">
                  <c:v>0.34534728686110494</c:v>
                </c:pt>
                <c:pt idx="8">
                  <c:v>0.35405781026333505</c:v>
                </c:pt>
                <c:pt idx="9">
                  <c:v>0.36033077631509031</c:v>
                </c:pt>
                <c:pt idx="10">
                  <c:v>0.36154133793854393</c:v>
                </c:pt>
                <c:pt idx="11">
                  <c:v>0.36923784165368967</c:v>
                </c:pt>
                <c:pt idx="12">
                  <c:v>0.36752348963972969</c:v>
                </c:pt>
                <c:pt idx="13">
                  <c:v>0.36349033554528792</c:v>
                </c:pt>
                <c:pt idx="14">
                  <c:v>0.36249595319051647</c:v>
                </c:pt>
                <c:pt idx="15">
                  <c:v>0.36117063665183374</c:v>
                </c:pt>
                <c:pt idx="16">
                  <c:v>0.36000001539974269</c:v>
                </c:pt>
                <c:pt idx="17">
                  <c:v>0.36095958345187246</c:v>
                </c:pt>
                <c:pt idx="18">
                  <c:v>0.37398345477118328</c:v>
                </c:pt>
                <c:pt idx="19">
                  <c:v>0.38419463112023317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'Chg_R_posneg_A '!$A$4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'!$B$4:$U$4</c:f>
              <c:numCache>
                <c:formatCode>General</c:formatCode>
                <c:ptCount val="20"/>
                <c:pt idx="0">
                  <c:v>0.21462310410713381</c:v>
                </c:pt>
                <c:pt idx="1">
                  <c:v>0.2338790951774406</c:v>
                </c:pt>
                <c:pt idx="2">
                  <c:v>0.26729779430369649</c:v>
                </c:pt>
                <c:pt idx="3">
                  <c:v>0.28798437057374432</c:v>
                </c:pt>
                <c:pt idx="4">
                  <c:v>0.30571649842924337</c:v>
                </c:pt>
                <c:pt idx="5">
                  <c:v>0.32422303558107451</c:v>
                </c:pt>
                <c:pt idx="6">
                  <c:v>0.32884940735935453</c:v>
                </c:pt>
                <c:pt idx="7">
                  <c:v>0.33665864258040568</c:v>
                </c:pt>
                <c:pt idx="8">
                  <c:v>0.34167440852981884</c:v>
                </c:pt>
                <c:pt idx="9">
                  <c:v>0.34868541097658223</c:v>
                </c:pt>
                <c:pt idx="10">
                  <c:v>0.35244169318546459</c:v>
                </c:pt>
                <c:pt idx="11">
                  <c:v>0.35694618065359057</c:v>
                </c:pt>
                <c:pt idx="12">
                  <c:v>0.35811138469849385</c:v>
                </c:pt>
                <c:pt idx="13">
                  <c:v>0.35625588553814624</c:v>
                </c:pt>
                <c:pt idx="14">
                  <c:v>0.357554876753992</c:v>
                </c:pt>
                <c:pt idx="15">
                  <c:v>0.35972930977328432</c:v>
                </c:pt>
                <c:pt idx="16">
                  <c:v>0.36224086570152375</c:v>
                </c:pt>
                <c:pt idx="17">
                  <c:v>0.36162043011525019</c:v>
                </c:pt>
                <c:pt idx="18">
                  <c:v>0.37265292763599944</c:v>
                </c:pt>
                <c:pt idx="19">
                  <c:v>0.38439706570995591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'Chg_R_posneg_A '!$A$5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'!$B$5:$U$5</c:f>
              <c:numCache>
                <c:formatCode>General</c:formatCode>
                <c:ptCount val="20"/>
                <c:pt idx="0">
                  <c:v>0.20326362386767091</c:v>
                </c:pt>
                <c:pt idx="1">
                  <c:v>0.22008683161070719</c:v>
                </c:pt>
                <c:pt idx="2">
                  <c:v>0.25286811923498242</c:v>
                </c:pt>
                <c:pt idx="3">
                  <c:v>0.27308161847289614</c:v>
                </c:pt>
                <c:pt idx="4">
                  <c:v>0.29256159687758099</c:v>
                </c:pt>
                <c:pt idx="5">
                  <c:v>0.30760928280659078</c:v>
                </c:pt>
                <c:pt idx="6">
                  <c:v>0.31315263052227543</c:v>
                </c:pt>
                <c:pt idx="7">
                  <c:v>0.31962235901484243</c:v>
                </c:pt>
                <c:pt idx="8">
                  <c:v>0.32768665487056814</c:v>
                </c:pt>
                <c:pt idx="9">
                  <c:v>0.33096254518899909</c:v>
                </c:pt>
                <c:pt idx="10">
                  <c:v>0.34013238135441487</c:v>
                </c:pt>
                <c:pt idx="11">
                  <c:v>0.33905395591278198</c:v>
                </c:pt>
                <c:pt idx="12">
                  <c:v>0.34379932845648725</c:v>
                </c:pt>
                <c:pt idx="13">
                  <c:v>0.34987163045324421</c:v>
                </c:pt>
                <c:pt idx="14">
                  <c:v>0.3603057094960721</c:v>
                </c:pt>
                <c:pt idx="15">
                  <c:v>0.3621638348349096</c:v>
                </c:pt>
                <c:pt idx="16">
                  <c:v>0.36765298999457069</c:v>
                </c:pt>
                <c:pt idx="17">
                  <c:v>0.36038371294692179</c:v>
                </c:pt>
                <c:pt idx="18">
                  <c:v>0.36741740943843992</c:v>
                </c:pt>
                <c:pt idx="19">
                  <c:v>0.3731200734151035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'Chg_R_posneg_A '!$A$6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'!$B$6:$U$6</c:f>
              <c:numCache>
                <c:formatCode>General</c:formatCode>
                <c:ptCount val="20"/>
                <c:pt idx="0">
                  <c:v>0.21381507964393812</c:v>
                </c:pt>
                <c:pt idx="1">
                  <c:v>0.2347294048417409</c:v>
                </c:pt>
                <c:pt idx="2">
                  <c:v>0.26973122701931251</c:v>
                </c:pt>
                <c:pt idx="3">
                  <c:v>0.28882622667707958</c:v>
                </c:pt>
                <c:pt idx="4">
                  <c:v>0.30590435664060284</c:v>
                </c:pt>
                <c:pt idx="5">
                  <c:v>0.31996741054486488</c:v>
                </c:pt>
                <c:pt idx="6">
                  <c:v>0.32714007944417195</c:v>
                </c:pt>
                <c:pt idx="7">
                  <c:v>0.33479577865785609</c:v>
                </c:pt>
                <c:pt idx="8">
                  <c:v>0.3456744856028483</c:v>
                </c:pt>
                <c:pt idx="9">
                  <c:v>0.35558271710056116</c:v>
                </c:pt>
                <c:pt idx="10">
                  <c:v>0.36040058157375204</c:v>
                </c:pt>
                <c:pt idx="11">
                  <c:v>0.36275886193665663</c:v>
                </c:pt>
                <c:pt idx="12">
                  <c:v>0.3623876612826013</c:v>
                </c:pt>
                <c:pt idx="13">
                  <c:v>0.36415429617231615</c:v>
                </c:pt>
                <c:pt idx="14">
                  <c:v>0.36596121266777404</c:v>
                </c:pt>
                <c:pt idx="15">
                  <c:v>0.36165365467115984</c:v>
                </c:pt>
                <c:pt idx="16">
                  <c:v>0.36296878177314917</c:v>
                </c:pt>
                <c:pt idx="17">
                  <c:v>0.36337108137354951</c:v>
                </c:pt>
                <c:pt idx="18">
                  <c:v>0.3808948557611842</c:v>
                </c:pt>
                <c:pt idx="19">
                  <c:v>0.39213542878338142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'Chg_R_posneg_A '!$A$7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'!$B$7:$U$7</c:f>
              <c:numCache>
                <c:formatCode>General</c:formatCode>
                <c:ptCount val="20"/>
                <c:pt idx="0">
                  <c:v>0.20484592754471107</c:v>
                </c:pt>
                <c:pt idx="1">
                  <c:v>0.22172020990656596</c:v>
                </c:pt>
                <c:pt idx="2">
                  <c:v>0.25106071441662264</c:v>
                </c:pt>
                <c:pt idx="3">
                  <c:v>0.26153903633412612</c:v>
                </c:pt>
                <c:pt idx="4">
                  <c:v>0.27663340214826404</c:v>
                </c:pt>
                <c:pt idx="5">
                  <c:v>0.29706672012930246</c:v>
                </c:pt>
                <c:pt idx="6">
                  <c:v>0.30670151436504656</c:v>
                </c:pt>
                <c:pt idx="7">
                  <c:v>0.32451149208425895</c:v>
                </c:pt>
                <c:pt idx="8">
                  <c:v>0.32371032667444383</c:v>
                </c:pt>
                <c:pt idx="9">
                  <c:v>0.32966622617839064</c:v>
                </c:pt>
                <c:pt idx="10">
                  <c:v>0.33551497210342873</c:v>
                </c:pt>
                <c:pt idx="11">
                  <c:v>0.33865153771969875</c:v>
                </c:pt>
                <c:pt idx="12">
                  <c:v>0.3367017557090628</c:v>
                </c:pt>
                <c:pt idx="13">
                  <c:v>0.3420423951697163</c:v>
                </c:pt>
                <c:pt idx="14">
                  <c:v>0.33970632292792907</c:v>
                </c:pt>
                <c:pt idx="15">
                  <c:v>0.33607337657258013</c:v>
                </c:pt>
                <c:pt idx="16">
                  <c:v>0.33815689618577005</c:v>
                </c:pt>
                <c:pt idx="17">
                  <c:v>0.34012245204488589</c:v>
                </c:pt>
                <c:pt idx="18">
                  <c:v>0.3463598679600503</c:v>
                </c:pt>
                <c:pt idx="19">
                  <c:v>0.34956393535181191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'Chg_R_posneg_A '!$A$8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'!$B$8:$U$8</c:f>
              <c:numCache>
                <c:formatCode>General</c:formatCode>
                <c:ptCount val="20"/>
                <c:pt idx="0">
                  <c:v>0.21481436608068175</c:v>
                </c:pt>
                <c:pt idx="1">
                  <c:v>0.23315433771067226</c:v>
                </c:pt>
                <c:pt idx="2">
                  <c:v>0.26791485872025622</c:v>
                </c:pt>
                <c:pt idx="3">
                  <c:v>0.2875199038516158</c:v>
                </c:pt>
                <c:pt idx="4">
                  <c:v>0.31027665547330652</c:v>
                </c:pt>
                <c:pt idx="5">
                  <c:v>0.32258213152701676</c:v>
                </c:pt>
                <c:pt idx="6">
                  <c:v>0.32970294985805382</c:v>
                </c:pt>
                <c:pt idx="7">
                  <c:v>0.33533356589426194</c:v>
                </c:pt>
                <c:pt idx="8">
                  <c:v>0.34225436194065545</c:v>
                </c:pt>
                <c:pt idx="9">
                  <c:v>0.35636206877780913</c:v>
                </c:pt>
                <c:pt idx="10">
                  <c:v>0.36509703813123406</c:v>
                </c:pt>
                <c:pt idx="11">
                  <c:v>0.36768661650854007</c:v>
                </c:pt>
                <c:pt idx="12">
                  <c:v>0.36766984140197045</c:v>
                </c:pt>
                <c:pt idx="13">
                  <c:v>0.36430428742151105</c:v>
                </c:pt>
                <c:pt idx="14">
                  <c:v>0.36440536809743551</c:v>
                </c:pt>
                <c:pt idx="15">
                  <c:v>0.36192764982228282</c:v>
                </c:pt>
                <c:pt idx="16">
                  <c:v>0.37352323048176778</c:v>
                </c:pt>
                <c:pt idx="17">
                  <c:v>0.37203919725978912</c:v>
                </c:pt>
                <c:pt idx="18">
                  <c:v>0.38868594513285476</c:v>
                </c:pt>
                <c:pt idx="19">
                  <c:v>0.40371724739647585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'Chg_R_posneg_A '!$A$9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'!$B$9:$U$9</c:f>
              <c:numCache>
                <c:formatCode>General</c:formatCode>
                <c:ptCount val="20"/>
                <c:pt idx="0">
                  <c:v>0.20968517516325721</c:v>
                </c:pt>
                <c:pt idx="1">
                  <c:v>0.22591539501763513</c:v>
                </c:pt>
                <c:pt idx="2">
                  <c:v>0.25174449148857214</c:v>
                </c:pt>
                <c:pt idx="3">
                  <c:v>0.26116767169572258</c:v>
                </c:pt>
                <c:pt idx="4">
                  <c:v>0.27557036216341929</c:v>
                </c:pt>
                <c:pt idx="5">
                  <c:v>0.28500140555495657</c:v>
                </c:pt>
                <c:pt idx="6">
                  <c:v>0.29873909262223081</c:v>
                </c:pt>
                <c:pt idx="7">
                  <c:v>0.30550431723814808</c:v>
                </c:pt>
                <c:pt idx="8">
                  <c:v>0.31138301072048014</c:v>
                </c:pt>
                <c:pt idx="9">
                  <c:v>0.31649039580405225</c:v>
                </c:pt>
                <c:pt idx="10">
                  <c:v>0.31403846010682634</c:v>
                </c:pt>
                <c:pt idx="11">
                  <c:v>0.32478688192320238</c:v>
                </c:pt>
                <c:pt idx="12">
                  <c:v>0.33600437439283815</c:v>
                </c:pt>
                <c:pt idx="13">
                  <c:v>0.33676384103558854</c:v>
                </c:pt>
                <c:pt idx="14">
                  <c:v>0.33434511452411569</c:v>
                </c:pt>
                <c:pt idx="15">
                  <c:v>0.32975082213400259</c:v>
                </c:pt>
                <c:pt idx="16">
                  <c:v>0.3330157371172226</c:v>
                </c:pt>
                <c:pt idx="17">
                  <c:v>0.33064480167353899</c:v>
                </c:pt>
                <c:pt idx="18">
                  <c:v>0.33503660547844083</c:v>
                </c:pt>
                <c:pt idx="19">
                  <c:v>0.34989019521546338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'Chg_R_posneg_A '!$A$10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'!$B$10:$U$10</c:f>
              <c:numCache>
                <c:formatCode>General</c:formatCode>
                <c:ptCount val="20"/>
                <c:pt idx="0">
                  <c:v>0.20840042138686088</c:v>
                </c:pt>
                <c:pt idx="1">
                  <c:v>0.22682682911164806</c:v>
                </c:pt>
                <c:pt idx="2">
                  <c:v>0.26010375495038363</c:v>
                </c:pt>
                <c:pt idx="3">
                  <c:v>0.27682238191499997</c:v>
                </c:pt>
                <c:pt idx="4">
                  <c:v>0.29071011066272867</c:v>
                </c:pt>
                <c:pt idx="5">
                  <c:v>0.30910113691740621</c:v>
                </c:pt>
                <c:pt idx="6">
                  <c:v>0.31944570974119824</c:v>
                </c:pt>
                <c:pt idx="7">
                  <c:v>0.32928238779259345</c:v>
                </c:pt>
                <c:pt idx="8">
                  <c:v>0.34429399109063802</c:v>
                </c:pt>
                <c:pt idx="9">
                  <c:v>0.35977613940131803</c:v>
                </c:pt>
                <c:pt idx="10">
                  <c:v>0.36110025703837278</c:v>
                </c:pt>
                <c:pt idx="11">
                  <c:v>0.36394298017077104</c:v>
                </c:pt>
                <c:pt idx="12">
                  <c:v>0.36164524951678284</c:v>
                </c:pt>
                <c:pt idx="13">
                  <c:v>0.36653315355329952</c:v>
                </c:pt>
                <c:pt idx="14">
                  <c:v>0.37096272168542332</c:v>
                </c:pt>
                <c:pt idx="15">
                  <c:v>0.3605067023298455</c:v>
                </c:pt>
                <c:pt idx="16">
                  <c:v>0.36232225659696221</c:v>
                </c:pt>
                <c:pt idx="17">
                  <c:v>0.36566831181674869</c:v>
                </c:pt>
                <c:pt idx="18">
                  <c:v>0.37145379337522055</c:v>
                </c:pt>
                <c:pt idx="19">
                  <c:v>0.37147369314572365</c:v>
                </c:pt>
              </c:numCache>
            </c:numRef>
          </c:yVal>
          <c:smooth val="1"/>
        </c:ser>
        <c:axId val="65966464"/>
        <c:axId val="67815680"/>
      </c:scatterChart>
      <c:valAx>
        <c:axId val="65966464"/>
        <c:scaling>
          <c:orientation val="minMax"/>
          <c:max val="21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Probe radius (Å)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7815680"/>
        <c:crosses val="autoZero"/>
        <c:crossBetween val="midCat"/>
      </c:valAx>
      <c:valAx>
        <c:axId val="67815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Ratio [positive</a:t>
                </a:r>
                <a:r>
                  <a:rPr lang="en-GB" sz="1200" baseline="0"/>
                  <a:t> area</a:t>
                </a:r>
                <a:r>
                  <a:rPr lang="en-GB" sz="1200"/>
                  <a:t>]/[negative area]</a:t>
                </a:r>
              </a:p>
            </c:rich>
          </c:tx>
        </c:title>
        <c:numFmt formatCode="General" sourceLinked="1"/>
        <c:tickLblPos val="nextTo"/>
        <c:crossAx val="65966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56578598406875"/>
          <c:y val="0.29478792650918634"/>
          <c:w val="0.19409887966338837"/>
          <c:h val="0.56393622047244096"/>
        </c:manualLayout>
      </c:layout>
      <c:spPr>
        <a:ln>
          <a:solidFill>
            <a:schemeClr val="accent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T_A!$A$3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T_A!$B$3:$U$3</c:f>
              <c:numCache>
                <c:formatCode>General</c:formatCode>
                <c:ptCount val="20"/>
                <c:pt idx="0">
                  <c:v>8584.5640000000003</c:v>
                </c:pt>
                <c:pt idx="1">
                  <c:v>5564.6679999999997</c:v>
                </c:pt>
                <c:pt idx="2">
                  <c:v>3237.1089999999999</c:v>
                </c:pt>
                <c:pt idx="3">
                  <c:v>2155.6309999999999</c:v>
                </c:pt>
                <c:pt idx="4">
                  <c:v>1584.8119999999999</c:v>
                </c:pt>
                <c:pt idx="5">
                  <c:v>1238.5050000000001</c:v>
                </c:pt>
                <c:pt idx="6">
                  <c:v>1011.49</c:v>
                </c:pt>
                <c:pt idx="7">
                  <c:v>852.3374</c:v>
                </c:pt>
                <c:pt idx="8">
                  <c:v>734.41079999999999</c:v>
                </c:pt>
                <c:pt idx="9">
                  <c:v>650.2079</c:v>
                </c:pt>
                <c:pt idx="10">
                  <c:v>582.94770000000005</c:v>
                </c:pt>
                <c:pt idx="11">
                  <c:v>522.72490000000005</c:v>
                </c:pt>
                <c:pt idx="12">
                  <c:v>475.87520000000001</c:v>
                </c:pt>
                <c:pt idx="13">
                  <c:v>438.25259999999997</c:v>
                </c:pt>
                <c:pt idx="14">
                  <c:v>401.07490000000001</c:v>
                </c:pt>
                <c:pt idx="15">
                  <c:v>374.40899999999999</c:v>
                </c:pt>
                <c:pt idx="16">
                  <c:v>353.25299999999999</c:v>
                </c:pt>
                <c:pt idx="17">
                  <c:v>332.47399999999999</c:v>
                </c:pt>
                <c:pt idx="18">
                  <c:v>312.31240000000003</c:v>
                </c:pt>
                <c:pt idx="19">
                  <c:v>299.97680000000003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T_A!$A$4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T_A!$B$4:$U$4</c:f>
              <c:numCache>
                <c:formatCode>General</c:formatCode>
                <c:ptCount val="20"/>
                <c:pt idx="0">
                  <c:v>8619.8349999999991</c:v>
                </c:pt>
                <c:pt idx="1">
                  <c:v>5576.5959999999995</c:v>
                </c:pt>
                <c:pt idx="2">
                  <c:v>3255.5369999999998</c:v>
                </c:pt>
                <c:pt idx="3">
                  <c:v>2155.1320000000001</c:v>
                </c:pt>
                <c:pt idx="4">
                  <c:v>1583.14</c:v>
                </c:pt>
                <c:pt idx="5">
                  <c:v>1244.5550000000001</c:v>
                </c:pt>
                <c:pt idx="6">
                  <c:v>1007.421</c:v>
                </c:pt>
                <c:pt idx="7">
                  <c:v>852.7876</c:v>
                </c:pt>
                <c:pt idx="8">
                  <c:v>739.55849999999998</c:v>
                </c:pt>
                <c:pt idx="9">
                  <c:v>652.65329999999994</c:v>
                </c:pt>
                <c:pt idx="10">
                  <c:v>580.79819999999995</c:v>
                </c:pt>
                <c:pt idx="11">
                  <c:v>523.85889999999995</c:v>
                </c:pt>
                <c:pt idx="12">
                  <c:v>476.66160000000002</c:v>
                </c:pt>
                <c:pt idx="13">
                  <c:v>441.57749999999999</c:v>
                </c:pt>
                <c:pt idx="14">
                  <c:v>411.71910000000003</c:v>
                </c:pt>
                <c:pt idx="15">
                  <c:v>383.10899999999998</c:v>
                </c:pt>
                <c:pt idx="16">
                  <c:v>360.20929999999998</c:v>
                </c:pt>
                <c:pt idx="17">
                  <c:v>341.22629999999998</c:v>
                </c:pt>
                <c:pt idx="18">
                  <c:v>316.64580000000001</c:v>
                </c:pt>
                <c:pt idx="19">
                  <c:v>300.36689999999999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T_A!$A$5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T_A!$B$5:$U$5</c:f>
              <c:numCache>
                <c:formatCode>General</c:formatCode>
                <c:ptCount val="20"/>
                <c:pt idx="0">
                  <c:v>8416.6460000000006</c:v>
                </c:pt>
                <c:pt idx="1">
                  <c:v>5464.5439999999999</c:v>
                </c:pt>
                <c:pt idx="2">
                  <c:v>3236.7359999999999</c:v>
                </c:pt>
                <c:pt idx="3">
                  <c:v>2163.86</c:v>
                </c:pt>
                <c:pt idx="4">
                  <c:v>1591.5989999999999</c:v>
                </c:pt>
                <c:pt idx="5">
                  <c:v>1256.5830000000001</c:v>
                </c:pt>
                <c:pt idx="6">
                  <c:v>1028.845</c:v>
                </c:pt>
                <c:pt idx="7">
                  <c:v>863.22709999999995</c:v>
                </c:pt>
                <c:pt idx="8">
                  <c:v>743.67409999999995</c:v>
                </c:pt>
                <c:pt idx="9">
                  <c:v>648.11670000000004</c:v>
                </c:pt>
                <c:pt idx="10">
                  <c:v>573.34090000000003</c:v>
                </c:pt>
                <c:pt idx="11">
                  <c:v>523.0865</c:v>
                </c:pt>
                <c:pt idx="12">
                  <c:v>476.73289999999997</c:v>
                </c:pt>
                <c:pt idx="13">
                  <c:v>438.7072</c:v>
                </c:pt>
                <c:pt idx="14">
                  <c:v>408.56900000000002</c:v>
                </c:pt>
                <c:pt idx="15">
                  <c:v>382.97089999999997</c:v>
                </c:pt>
                <c:pt idx="16">
                  <c:v>356.19009999999997</c:v>
                </c:pt>
                <c:pt idx="17">
                  <c:v>335.06099999999998</c:v>
                </c:pt>
                <c:pt idx="18">
                  <c:v>316.50850000000003</c:v>
                </c:pt>
                <c:pt idx="19">
                  <c:v>300.7527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T_A!$A$6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T_A!$B$6:$U$6</c:f>
              <c:numCache>
                <c:formatCode>General</c:formatCode>
                <c:ptCount val="20"/>
                <c:pt idx="0">
                  <c:v>8594.7849999999999</c:v>
                </c:pt>
                <c:pt idx="1">
                  <c:v>5589.5720000000001</c:v>
                </c:pt>
                <c:pt idx="2">
                  <c:v>3250.8789999999999</c:v>
                </c:pt>
                <c:pt idx="3">
                  <c:v>2155.2849999999999</c:v>
                </c:pt>
                <c:pt idx="4">
                  <c:v>1588.46</c:v>
                </c:pt>
                <c:pt idx="5">
                  <c:v>1243.442</c:v>
                </c:pt>
                <c:pt idx="6">
                  <c:v>1010.104</c:v>
                </c:pt>
                <c:pt idx="7">
                  <c:v>856.55629999999996</c:v>
                </c:pt>
                <c:pt idx="8">
                  <c:v>739.50519999999995</c:v>
                </c:pt>
                <c:pt idx="9">
                  <c:v>649.24869999999999</c:v>
                </c:pt>
                <c:pt idx="10">
                  <c:v>582.54790000000003</c:v>
                </c:pt>
                <c:pt idx="11">
                  <c:v>523.58550000000002</c:v>
                </c:pt>
                <c:pt idx="12">
                  <c:v>476.68619999999999</c:v>
                </c:pt>
                <c:pt idx="13">
                  <c:v>436.04450000000003</c:v>
                </c:pt>
                <c:pt idx="14">
                  <c:v>405.3229</c:v>
                </c:pt>
                <c:pt idx="15">
                  <c:v>376.15010000000001</c:v>
                </c:pt>
                <c:pt idx="16">
                  <c:v>349.87830000000002</c:v>
                </c:pt>
                <c:pt idx="17">
                  <c:v>331.9821</c:v>
                </c:pt>
                <c:pt idx="18">
                  <c:v>310.22570000000002</c:v>
                </c:pt>
                <c:pt idx="19">
                  <c:v>298.00599999999997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T_A!$A$7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T_A!$B$7:$U$7</c:f>
              <c:numCache>
                <c:formatCode>General</c:formatCode>
                <c:ptCount val="20"/>
                <c:pt idx="0">
                  <c:v>8416.3770000000004</c:v>
                </c:pt>
                <c:pt idx="1">
                  <c:v>5488.326</c:v>
                </c:pt>
                <c:pt idx="2">
                  <c:v>3208.3139999999999</c:v>
                </c:pt>
                <c:pt idx="3">
                  <c:v>2177.8809999999999</c:v>
                </c:pt>
                <c:pt idx="4">
                  <c:v>1608.4280000000001</c:v>
                </c:pt>
                <c:pt idx="5">
                  <c:v>1255.117</c:v>
                </c:pt>
                <c:pt idx="6">
                  <c:v>1017.7809999999999</c:v>
                </c:pt>
                <c:pt idx="7">
                  <c:v>861.74260000000004</c:v>
                </c:pt>
                <c:pt idx="8">
                  <c:v>745.37940000000003</c:v>
                </c:pt>
                <c:pt idx="9">
                  <c:v>655.54039999999998</c:v>
                </c:pt>
                <c:pt idx="10">
                  <c:v>582.69529999999997</c:v>
                </c:pt>
                <c:pt idx="11">
                  <c:v>527.19079999999997</c:v>
                </c:pt>
                <c:pt idx="12">
                  <c:v>482.09930000000003</c:v>
                </c:pt>
                <c:pt idx="13">
                  <c:v>444.29860000000002</c:v>
                </c:pt>
                <c:pt idx="14">
                  <c:v>412.74669999999998</c:v>
                </c:pt>
                <c:pt idx="15">
                  <c:v>385.99709999999999</c:v>
                </c:pt>
                <c:pt idx="16">
                  <c:v>359.358</c:v>
                </c:pt>
                <c:pt idx="17">
                  <c:v>339.04669999999999</c:v>
                </c:pt>
                <c:pt idx="18">
                  <c:v>318.9504</c:v>
                </c:pt>
                <c:pt idx="19">
                  <c:v>304.99990000000003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T_A!$A$8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T_A!$B$8:$U$8</c:f>
              <c:numCache>
                <c:formatCode>General</c:formatCode>
                <c:ptCount val="20"/>
                <c:pt idx="0">
                  <c:v>8582.6049999999996</c:v>
                </c:pt>
                <c:pt idx="1">
                  <c:v>5580.8360000000002</c:v>
                </c:pt>
                <c:pt idx="2">
                  <c:v>3256.0740000000001</c:v>
                </c:pt>
                <c:pt idx="3">
                  <c:v>2153.2759999999998</c:v>
                </c:pt>
                <c:pt idx="4">
                  <c:v>1593.9380000000001</c:v>
                </c:pt>
                <c:pt idx="5">
                  <c:v>1245.7380000000001</c:v>
                </c:pt>
                <c:pt idx="6">
                  <c:v>1011.285</c:v>
                </c:pt>
                <c:pt idx="7">
                  <c:v>853.62630000000001</c:v>
                </c:pt>
                <c:pt idx="8">
                  <c:v>739.49900000000002</c:v>
                </c:pt>
                <c:pt idx="9">
                  <c:v>647.83969999999999</c:v>
                </c:pt>
                <c:pt idx="10">
                  <c:v>574.16330000000005</c:v>
                </c:pt>
                <c:pt idx="11">
                  <c:v>518.97159999999997</c:v>
                </c:pt>
                <c:pt idx="12">
                  <c:v>473.1884</c:v>
                </c:pt>
                <c:pt idx="13">
                  <c:v>438.26839999999999</c:v>
                </c:pt>
                <c:pt idx="14">
                  <c:v>404.65839999999997</c:v>
                </c:pt>
                <c:pt idx="15">
                  <c:v>377.5401</c:v>
                </c:pt>
                <c:pt idx="16">
                  <c:v>353.50470000000001</c:v>
                </c:pt>
                <c:pt idx="17">
                  <c:v>332.589</c:v>
                </c:pt>
                <c:pt idx="18">
                  <c:v>311.02449999999999</c:v>
                </c:pt>
                <c:pt idx="19">
                  <c:v>296.99680000000001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T_A!$A$9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T_A!$B$9:$U$9</c:f>
              <c:numCache>
                <c:formatCode>General</c:formatCode>
                <c:ptCount val="20"/>
                <c:pt idx="0">
                  <c:v>8382.0550000000003</c:v>
                </c:pt>
                <c:pt idx="1">
                  <c:v>5450.8220000000001</c:v>
                </c:pt>
                <c:pt idx="2">
                  <c:v>3180.7959999999998</c:v>
                </c:pt>
                <c:pt idx="3">
                  <c:v>2149.9839999999999</c:v>
                </c:pt>
                <c:pt idx="4">
                  <c:v>1579.5830000000001</c:v>
                </c:pt>
                <c:pt idx="5">
                  <c:v>1238.3320000000001</c:v>
                </c:pt>
                <c:pt idx="6">
                  <c:v>1011.587</c:v>
                </c:pt>
                <c:pt idx="7">
                  <c:v>849.30579999999998</c:v>
                </c:pt>
                <c:pt idx="8">
                  <c:v>741.64200000000005</c:v>
                </c:pt>
                <c:pt idx="9">
                  <c:v>647.70860000000005</c:v>
                </c:pt>
                <c:pt idx="10">
                  <c:v>582.48599999999999</c:v>
                </c:pt>
                <c:pt idx="11">
                  <c:v>520.2799</c:v>
                </c:pt>
                <c:pt idx="12">
                  <c:v>472.53710000000001</c:v>
                </c:pt>
                <c:pt idx="13">
                  <c:v>435.74090000000001</c:v>
                </c:pt>
                <c:pt idx="14">
                  <c:v>402.9402</c:v>
                </c:pt>
                <c:pt idx="15">
                  <c:v>382.52409999999998</c:v>
                </c:pt>
                <c:pt idx="16">
                  <c:v>355.92290000000003</c:v>
                </c:pt>
                <c:pt idx="17">
                  <c:v>332.4187</c:v>
                </c:pt>
                <c:pt idx="18">
                  <c:v>314.32569999999998</c:v>
                </c:pt>
                <c:pt idx="19">
                  <c:v>301.80689999999998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T_A!$A$10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T_A!$B$10:$U$10</c:f>
              <c:numCache>
                <c:formatCode>General</c:formatCode>
                <c:ptCount val="20"/>
                <c:pt idx="0">
                  <c:v>8422.7890000000007</c:v>
                </c:pt>
                <c:pt idx="1">
                  <c:v>5482.0950000000003</c:v>
                </c:pt>
                <c:pt idx="2">
                  <c:v>3218.3939999999998</c:v>
                </c:pt>
                <c:pt idx="3">
                  <c:v>2158.2530000000002</c:v>
                </c:pt>
                <c:pt idx="4">
                  <c:v>1603.374</c:v>
                </c:pt>
                <c:pt idx="5">
                  <c:v>1253.1849999999999</c:v>
                </c:pt>
                <c:pt idx="6">
                  <c:v>1018.172</c:v>
                </c:pt>
                <c:pt idx="7">
                  <c:v>862.80849999999998</c:v>
                </c:pt>
                <c:pt idx="8">
                  <c:v>752.91470000000004</c:v>
                </c:pt>
                <c:pt idx="9">
                  <c:v>657.61479999999995</c:v>
                </c:pt>
                <c:pt idx="10">
                  <c:v>586.24429999999995</c:v>
                </c:pt>
                <c:pt idx="11">
                  <c:v>525.8768</c:v>
                </c:pt>
                <c:pt idx="12">
                  <c:v>480.72879999999998</c:v>
                </c:pt>
                <c:pt idx="13">
                  <c:v>441.06920000000002</c:v>
                </c:pt>
                <c:pt idx="14">
                  <c:v>407.42840000000001</c:v>
                </c:pt>
                <c:pt idx="15">
                  <c:v>377.82530000000003</c:v>
                </c:pt>
                <c:pt idx="16">
                  <c:v>354.87779999999998</c:v>
                </c:pt>
                <c:pt idx="17">
                  <c:v>335.00799999999998</c:v>
                </c:pt>
                <c:pt idx="18">
                  <c:v>317.39760000000001</c:v>
                </c:pt>
                <c:pt idx="19">
                  <c:v>300.51990000000001</c:v>
                </c:pt>
              </c:numCache>
            </c:numRef>
          </c:yVal>
          <c:smooth val="1"/>
        </c:ser>
        <c:axId val="68054400"/>
        <c:axId val="68077056"/>
      </c:scatterChart>
      <c:valAx>
        <c:axId val="680544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77056"/>
        <c:crosses val="autoZero"/>
        <c:crossBetween val="midCat"/>
      </c:valAx>
      <c:valAx>
        <c:axId val="68077056"/>
        <c:scaling>
          <c:orientation val="minMax"/>
        </c:scaling>
        <c:axPos val="l"/>
        <c:numFmt formatCode="General" sourceLinked="1"/>
        <c:tickLblPos val="nextTo"/>
        <c:crossAx val="68054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547244091"/>
          <c:y val="7.9861548556430503E-2"/>
          <c:w val="0.15000020505249356"/>
          <c:h val="0.8368083989501314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Shape_factor!$A$3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Shape_factor!$B$3:$U$3</c:f>
              <c:numCache>
                <c:formatCode>General</c:formatCode>
                <c:ptCount val="20"/>
                <c:pt idx="0">
                  <c:v>1.9662308749427395</c:v>
                </c:pt>
                <c:pt idx="1">
                  <c:v>1.2745460375629867</c:v>
                </c:pt>
                <c:pt idx="2">
                  <c:v>0.74143586807146122</c:v>
                </c:pt>
                <c:pt idx="3">
                  <c:v>0.49373133302794314</c:v>
                </c:pt>
                <c:pt idx="4">
                  <c:v>0.36298946404031146</c:v>
                </c:pt>
                <c:pt idx="5">
                  <c:v>0.28367040769583146</c:v>
                </c:pt>
                <c:pt idx="6">
                  <c:v>0.23167430142006412</c:v>
                </c:pt>
                <c:pt idx="7">
                  <c:v>0.19522157581310123</c:v>
                </c:pt>
                <c:pt idx="8">
                  <c:v>0.16821136051305544</c:v>
                </c:pt>
                <c:pt idx="9">
                  <c:v>0.1489253092075126</c:v>
                </c:pt>
                <c:pt idx="10">
                  <c:v>0.13351985799358682</c:v>
                </c:pt>
                <c:pt idx="11">
                  <c:v>0.11972627118644069</c:v>
                </c:pt>
                <c:pt idx="12">
                  <c:v>0.10899569399908383</c:v>
                </c:pt>
                <c:pt idx="13">
                  <c:v>0.10037851580393953</c:v>
                </c:pt>
                <c:pt idx="14">
                  <c:v>9.1863238662391211E-2</c:v>
                </c:pt>
                <c:pt idx="15">
                  <c:v>8.575561154374714E-2</c:v>
                </c:pt>
                <c:pt idx="16">
                  <c:v>8.0909986257443875E-2</c:v>
                </c:pt>
                <c:pt idx="17">
                  <c:v>7.6150710032065957E-2</c:v>
                </c:pt>
                <c:pt idx="18">
                  <c:v>7.1532844709115903E-2</c:v>
                </c:pt>
                <c:pt idx="19">
                  <c:v>6.8707466788822724E-2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Shape_factor!$A$4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Shape_factor!$B$4:$U$4</c:f>
              <c:numCache>
                <c:formatCode>General</c:formatCode>
                <c:ptCount val="20"/>
                <c:pt idx="0">
                  <c:v>1.9734054487179484</c:v>
                </c:pt>
                <c:pt idx="1">
                  <c:v>1.2766932234432233</c:v>
                </c:pt>
                <c:pt idx="2">
                  <c:v>0.74531524725274723</c:v>
                </c:pt>
                <c:pt idx="3">
                  <c:v>0.49339102564102566</c:v>
                </c:pt>
                <c:pt idx="4">
                  <c:v>0.3624404761904762</c:v>
                </c:pt>
                <c:pt idx="5">
                  <c:v>0.28492559523809524</c:v>
                </c:pt>
                <c:pt idx="6">
                  <c:v>0.23063667582417582</c:v>
                </c:pt>
                <c:pt idx="7">
                  <c:v>0.19523525641025641</c:v>
                </c:pt>
                <c:pt idx="8">
                  <c:v>0.16931284340659339</c:v>
                </c:pt>
                <c:pt idx="9">
                  <c:v>0.14941696428571427</c:v>
                </c:pt>
                <c:pt idx="10">
                  <c:v>0.13296662087912087</c:v>
                </c:pt>
                <c:pt idx="11">
                  <c:v>0.11993106684981684</c:v>
                </c:pt>
                <c:pt idx="12">
                  <c:v>0.10912582417582418</c:v>
                </c:pt>
                <c:pt idx="13">
                  <c:v>0.10109375</c:v>
                </c:pt>
                <c:pt idx="14">
                  <c:v>9.4258035714285718E-2</c:v>
                </c:pt>
                <c:pt idx="15">
                  <c:v>8.7708104395604392E-2</c:v>
                </c:pt>
                <c:pt idx="16">
                  <c:v>8.2465499084249078E-2</c:v>
                </c:pt>
                <c:pt idx="17">
                  <c:v>7.8119574175824172E-2</c:v>
                </c:pt>
                <c:pt idx="18">
                  <c:v>7.2492170329670327E-2</c:v>
                </c:pt>
                <c:pt idx="19">
                  <c:v>6.8765315934065929E-2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Shape_factor!$A$5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Shape_factor!$B$5:$U$5</c:f>
              <c:numCache>
                <c:formatCode>General</c:formatCode>
                <c:ptCount val="20"/>
                <c:pt idx="0">
                  <c:v>1.9268878205128206</c:v>
                </c:pt>
                <c:pt idx="1">
                  <c:v>1.2510402930402931</c:v>
                </c:pt>
                <c:pt idx="2">
                  <c:v>0.74101098901098894</c:v>
                </c:pt>
                <c:pt idx="3">
                  <c:v>0.49538919413919419</c:v>
                </c:pt>
                <c:pt idx="4">
                  <c:v>0.36437706043956042</c:v>
                </c:pt>
                <c:pt idx="5">
                  <c:v>0.28767925824175827</c:v>
                </c:pt>
                <c:pt idx="6">
                  <c:v>0.23554143772893774</c:v>
                </c:pt>
                <c:pt idx="7">
                  <c:v>0.19762525183150181</c:v>
                </c:pt>
                <c:pt idx="8">
                  <c:v>0.17025505952380951</c:v>
                </c:pt>
                <c:pt idx="9">
                  <c:v>0.14837836538461538</c:v>
                </c:pt>
                <c:pt idx="10">
                  <c:v>0.13125936355311357</c:v>
                </c:pt>
                <c:pt idx="11">
                  <c:v>0.11975423534798535</c:v>
                </c:pt>
                <c:pt idx="12">
                  <c:v>0.10914214743589742</c:v>
                </c:pt>
                <c:pt idx="13">
                  <c:v>0.10043663003663003</c:v>
                </c:pt>
                <c:pt idx="14">
                  <c:v>9.3536858974358983E-2</c:v>
                </c:pt>
                <c:pt idx="15">
                  <c:v>8.7676488095238092E-2</c:v>
                </c:pt>
                <c:pt idx="16">
                  <c:v>8.1545352564102558E-2</c:v>
                </c:pt>
                <c:pt idx="17">
                  <c:v>7.6708104395604396E-2</c:v>
                </c:pt>
                <c:pt idx="18">
                  <c:v>7.2460737179487186E-2</c:v>
                </c:pt>
                <c:pt idx="19">
                  <c:v>6.8853640109890105E-2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Shape_factor!$A$6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Shape_factor!$B$6:$U$6</c:f>
              <c:numCache>
                <c:formatCode>General</c:formatCode>
                <c:ptCount val="20"/>
                <c:pt idx="0">
                  <c:v>1.9640733546617914</c:v>
                </c:pt>
                <c:pt idx="1">
                  <c:v>1.2773244972577698</c:v>
                </c:pt>
                <c:pt idx="2">
                  <c:v>0.74288825411334547</c:v>
                </c:pt>
                <c:pt idx="3">
                  <c:v>0.4925239945155393</c:v>
                </c:pt>
                <c:pt idx="4">
                  <c:v>0.36299360146252285</c:v>
                </c:pt>
                <c:pt idx="5">
                  <c:v>0.284150365630713</c:v>
                </c:pt>
                <c:pt idx="6">
                  <c:v>0.23082815356489947</c:v>
                </c:pt>
                <c:pt idx="7">
                  <c:v>0.1957395566727605</c:v>
                </c:pt>
                <c:pt idx="8">
                  <c:v>0.16899113345521022</c:v>
                </c:pt>
                <c:pt idx="9">
                  <c:v>0.14836579067641681</c:v>
                </c:pt>
                <c:pt idx="10">
                  <c:v>0.13312337751371114</c:v>
                </c:pt>
                <c:pt idx="11">
                  <c:v>0.11964933729433273</c:v>
                </c:pt>
                <c:pt idx="12">
                  <c:v>0.10893194698354662</c:v>
                </c:pt>
                <c:pt idx="13">
                  <c:v>9.9644538391224863E-2</c:v>
                </c:pt>
                <c:pt idx="14">
                  <c:v>9.2624063071297988E-2</c:v>
                </c:pt>
                <c:pt idx="15">
                  <c:v>8.5957518281535653E-2</c:v>
                </c:pt>
                <c:pt idx="16">
                  <c:v>7.9953907678244979E-2</c:v>
                </c:pt>
                <c:pt idx="17">
                  <c:v>7.5864282449725776E-2</c:v>
                </c:pt>
                <c:pt idx="18">
                  <c:v>7.0892527422303481E-2</c:v>
                </c:pt>
                <c:pt idx="19">
                  <c:v>6.810009140767824E-2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Shape_factor!$A$7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Shape_factor!$B$7:$U$7</c:f>
              <c:numCache>
                <c:formatCode>General</c:formatCode>
                <c:ptCount val="20"/>
                <c:pt idx="0">
                  <c:v>1.9206702418986765</c:v>
                </c:pt>
                <c:pt idx="1">
                  <c:v>1.2524705613874942</c:v>
                </c:pt>
                <c:pt idx="2">
                  <c:v>0.73215746234596069</c:v>
                </c:pt>
                <c:pt idx="3">
                  <c:v>0.49700616157005928</c:v>
                </c:pt>
                <c:pt idx="4">
                  <c:v>0.36705340027384759</c:v>
                </c:pt>
                <c:pt idx="5">
                  <c:v>0.28642560474669099</c:v>
                </c:pt>
                <c:pt idx="6">
                  <c:v>0.23226403468735735</c:v>
                </c:pt>
                <c:pt idx="7">
                  <c:v>0.19665508900045642</c:v>
                </c:pt>
                <c:pt idx="8">
                  <c:v>0.17010027384755819</c:v>
                </c:pt>
                <c:pt idx="9">
                  <c:v>0.14959844819717025</c:v>
                </c:pt>
                <c:pt idx="10">
                  <c:v>0.13297473756275674</c:v>
                </c:pt>
                <c:pt idx="11">
                  <c:v>0.12030826106800548</c:v>
                </c:pt>
                <c:pt idx="12">
                  <c:v>0.11001809675947057</c:v>
                </c:pt>
                <c:pt idx="13">
                  <c:v>0.10139173893199453</c:v>
                </c:pt>
                <c:pt idx="14">
                  <c:v>9.4191396622546775E-2</c:v>
                </c:pt>
                <c:pt idx="15">
                  <c:v>8.8086969420356001E-2</c:v>
                </c:pt>
                <c:pt idx="16">
                  <c:v>8.2007759014148793E-2</c:v>
                </c:pt>
                <c:pt idx="17">
                  <c:v>7.7372592423550893E-2</c:v>
                </c:pt>
                <c:pt idx="18">
                  <c:v>7.2786490187129169E-2</c:v>
                </c:pt>
                <c:pt idx="19">
                  <c:v>6.9602898219990883E-2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Shape_factor!$A$8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Shape_factor!$B$8:$U$8</c:f>
              <c:numCache>
                <c:formatCode>General</c:formatCode>
                <c:ptCount val="20"/>
                <c:pt idx="0">
                  <c:v>1.9586045184847101</c:v>
                </c:pt>
                <c:pt idx="1">
                  <c:v>1.2735819260611594</c:v>
                </c:pt>
                <c:pt idx="2">
                  <c:v>0.74305659516202649</c:v>
                </c:pt>
                <c:pt idx="3">
                  <c:v>0.49139114559561842</c:v>
                </c:pt>
                <c:pt idx="4">
                  <c:v>0.36374669100867185</c:v>
                </c:pt>
                <c:pt idx="5">
                  <c:v>0.28428525787311731</c:v>
                </c:pt>
                <c:pt idx="6">
                  <c:v>0.2307816065723414</c:v>
                </c:pt>
                <c:pt idx="7">
                  <c:v>0.19480289821999089</c:v>
                </c:pt>
                <c:pt idx="8">
                  <c:v>0.16875832952989503</c:v>
                </c:pt>
                <c:pt idx="9">
                  <c:v>0.14784109995435873</c:v>
                </c:pt>
                <c:pt idx="10">
                  <c:v>0.13102768142400731</c:v>
                </c:pt>
                <c:pt idx="11">
                  <c:v>0.11843258785942491</c:v>
                </c:pt>
                <c:pt idx="12">
                  <c:v>0.10798457325422181</c:v>
                </c:pt>
                <c:pt idx="13">
                  <c:v>0.10001560931081697</c:v>
                </c:pt>
                <c:pt idx="14">
                  <c:v>9.2345595618439066E-2</c:v>
                </c:pt>
                <c:pt idx="15">
                  <c:v>8.6157028753993614E-2</c:v>
                </c:pt>
                <c:pt idx="16">
                  <c:v>8.0671999087174803E-2</c:v>
                </c:pt>
                <c:pt idx="17">
                  <c:v>7.5898904609767226E-2</c:v>
                </c:pt>
                <c:pt idx="18">
                  <c:v>7.0977749885896849E-2</c:v>
                </c:pt>
                <c:pt idx="19">
                  <c:v>6.7776540392514836E-2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Shape_factor!$A$9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Shape_factor!$B$9:$U$9</c:f>
              <c:numCache>
                <c:formatCode>General</c:formatCode>
                <c:ptCount val="20"/>
                <c:pt idx="0">
                  <c:v>1.91109325125399</c:v>
                </c:pt>
                <c:pt idx="1">
                  <c:v>1.2427774737802098</c:v>
                </c:pt>
                <c:pt idx="2">
                  <c:v>0.72521568627450972</c:v>
                </c:pt>
                <c:pt idx="3">
                  <c:v>0.49019243046055627</c:v>
                </c:pt>
                <c:pt idx="4">
                  <c:v>0.36014204286365709</c:v>
                </c:pt>
                <c:pt idx="5">
                  <c:v>0.28233743730050165</c:v>
                </c:pt>
                <c:pt idx="6">
                  <c:v>0.23063999088007295</c:v>
                </c:pt>
                <c:pt idx="7">
                  <c:v>0.19364017327861377</c:v>
                </c:pt>
                <c:pt idx="8">
                  <c:v>0.16909302325581396</c:v>
                </c:pt>
                <c:pt idx="9">
                  <c:v>0.14767637938896491</c:v>
                </c:pt>
                <c:pt idx="10">
                  <c:v>0.13280574555403557</c:v>
                </c:pt>
                <c:pt idx="11">
                  <c:v>0.11862286821705427</c:v>
                </c:pt>
                <c:pt idx="12">
                  <c:v>0.10773759689922481</c:v>
                </c:pt>
                <c:pt idx="13">
                  <c:v>9.9348130414956687E-2</c:v>
                </c:pt>
                <c:pt idx="14">
                  <c:v>9.1869630642954864E-2</c:v>
                </c:pt>
                <c:pt idx="15">
                  <c:v>8.7214797081623344E-2</c:v>
                </c:pt>
                <c:pt idx="16">
                  <c:v>8.1149772001823994E-2</c:v>
                </c:pt>
                <c:pt idx="17">
                  <c:v>7.5790857273141818E-2</c:v>
                </c:pt>
                <c:pt idx="18">
                  <c:v>7.1665686274509796E-2</c:v>
                </c:pt>
                <c:pt idx="19">
                  <c:v>6.8811422708618328E-2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Shape_factor!$A$10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Shape_factor!$B$10:$U$10</c:f>
              <c:numCache>
                <c:formatCode>General</c:formatCode>
                <c:ptCount val="20"/>
                <c:pt idx="0">
                  <c:v>1.9203805289557685</c:v>
                </c:pt>
                <c:pt idx="1">
                  <c:v>1.2499076607387141</c:v>
                </c:pt>
                <c:pt idx="2">
                  <c:v>0.73378796169630633</c:v>
                </c:pt>
                <c:pt idx="3">
                  <c:v>0.49207774737802101</c:v>
                </c:pt>
                <c:pt idx="4">
                  <c:v>0.36556634746922023</c:v>
                </c:pt>
                <c:pt idx="5">
                  <c:v>0.28572389420884631</c:v>
                </c:pt>
                <c:pt idx="6">
                  <c:v>0.23214135886912907</c:v>
                </c:pt>
                <c:pt idx="7">
                  <c:v>0.19671876424988599</c:v>
                </c:pt>
                <c:pt idx="8">
                  <c:v>0.17166317829457364</c:v>
                </c:pt>
                <c:pt idx="9">
                  <c:v>0.14993497492020064</c:v>
                </c:pt>
                <c:pt idx="10">
                  <c:v>0.13366263109895118</c:v>
                </c:pt>
                <c:pt idx="11">
                  <c:v>0.11989895120839034</c:v>
                </c:pt>
                <c:pt idx="12">
                  <c:v>0.10960528955768353</c:v>
                </c:pt>
                <c:pt idx="13">
                  <c:v>0.10056297309621523</c:v>
                </c:pt>
                <c:pt idx="14">
                  <c:v>9.2892932056543545E-2</c:v>
                </c:pt>
                <c:pt idx="15">
                  <c:v>8.6143479252165991E-2</c:v>
                </c:pt>
                <c:pt idx="16">
                  <c:v>8.0911491108071137E-2</c:v>
                </c:pt>
                <c:pt idx="17">
                  <c:v>7.6381212950296387E-2</c:v>
                </c:pt>
                <c:pt idx="18">
                  <c:v>7.2366073871409031E-2</c:v>
                </c:pt>
                <c:pt idx="19">
                  <c:v>6.8517989056087553E-2</c:v>
                </c:pt>
              </c:numCache>
            </c:numRef>
          </c:yVal>
          <c:smooth val="1"/>
        </c:ser>
        <c:axId val="68098304"/>
        <c:axId val="68116864"/>
      </c:scatterChart>
      <c:valAx>
        <c:axId val="680983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116864"/>
        <c:crosses val="autoZero"/>
        <c:crossBetween val="midCat"/>
      </c:valAx>
      <c:valAx>
        <c:axId val="68116864"/>
        <c:scaling>
          <c:orientation val="minMax"/>
        </c:scaling>
        <c:axPos val="l"/>
        <c:numFmt formatCode="General" sourceLinked="1"/>
        <c:tickLblPos val="nextTo"/>
        <c:crossAx val="68098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565976819329E-2"/>
          <c:w val="0.15000030638193537"/>
          <c:h val="0.83680858476761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AA_pho_pat!$B$4:$U$4</c:f>
              <c:numCache>
                <c:formatCode>General</c:formatCode>
                <c:ptCount val="20"/>
                <c:pt idx="0">
                  <c:v>-3.2723416E-3</c:v>
                </c:pt>
                <c:pt idx="1">
                  <c:v>-3.1985757000000002E-3</c:v>
                </c:pt>
                <c:pt idx="2">
                  <c:v>-2.9062469999999998E-3</c:v>
                </c:pt>
                <c:pt idx="3">
                  <c:v>-2.6705072E-3</c:v>
                </c:pt>
                <c:pt idx="4">
                  <c:v>-2.6064888E-3</c:v>
                </c:pt>
                <c:pt idx="5">
                  <c:v>-2.4060900000000001E-3</c:v>
                </c:pt>
                <c:pt idx="6">
                  <c:v>-2.4621299999999999E-3</c:v>
                </c:pt>
                <c:pt idx="7">
                  <c:v>-2.3429118999999999E-3</c:v>
                </c:pt>
                <c:pt idx="8">
                  <c:v>-2.345457E-3</c:v>
                </c:pt>
                <c:pt idx="9">
                  <c:v>-2.2013807E-3</c:v>
                </c:pt>
                <c:pt idx="10">
                  <c:v>-2.3600038000000001E-3</c:v>
                </c:pt>
                <c:pt idx="11">
                  <c:v>-2.3683552E-3</c:v>
                </c:pt>
                <c:pt idx="12">
                  <c:v>-2.2653521E-3</c:v>
                </c:pt>
                <c:pt idx="13">
                  <c:v>-2.2732210000000002E-3</c:v>
                </c:pt>
                <c:pt idx="14">
                  <c:v>-2.3324448000000002E-3</c:v>
                </c:pt>
                <c:pt idx="15">
                  <c:v>-2.3560043999999998E-3</c:v>
                </c:pt>
                <c:pt idx="16">
                  <c:v>-2.2707318000000001E-3</c:v>
                </c:pt>
                <c:pt idx="17">
                  <c:v>-2.3080219999999999E-3</c:v>
                </c:pt>
                <c:pt idx="18">
                  <c:v>-2.3201342999999998E-3</c:v>
                </c:pt>
                <c:pt idx="19">
                  <c:v>-2.3394654999999999E-3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64676992"/>
        <c:axId val="64678912"/>
      </c:scatterChart>
      <c:valAx>
        <c:axId val="6467699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678912"/>
        <c:crosses val="autoZero"/>
        <c:crossBetween val="midCat"/>
      </c:valAx>
      <c:valAx>
        <c:axId val="64678912"/>
        <c:scaling>
          <c:orientation val="minMax"/>
        </c:scaling>
        <c:axPos val="l"/>
        <c:numFmt formatCode="General" sourceLinked="1"/>
        <c:tickLblPos val="nextTo"/>
        <c:crossAx val="64676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678"/>
          <c:y val="0.37501312335958042"/>
          <c:w val="0.1437502187226597"/>
          <c:h val="0.2499737532808399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AA_pho_pat!$A$3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AA_pho_pat!$B$3:$U$3</c:f>
              <c:numCache>
                <c:formatCode>General</c:formatCode>
                <c:ptCount val="20"/>
                <c:pt idx="0">
                  <c:v>-3.2598227000000001E-3</c:v>
                </c:pt>
                <c:pt idx="1">
                  <c:v>-3.1840992000000002E-3</c:v>
                </c:pt>
                <c:pt idx="2">
                  <c:v>-2.8994041E-3</c:v>
                </c:pt>
                <c:pt idx="3">
                  <c:v>-2.6943916000000002E-3</c:v>
                </c:pt>
                <c:pt idx="4">
                  <c:v>-2.6417999000000001E-3</c:v>
                </c:pt>
                <c:pt idx="5">
                  <c:v>-2.3935725999999998E-3</c:v>
                </c:pt>
                <c:pt idx="6">
                  <c:v>-2.3982269000000001E-3</c:v>
                </c:pt>
                <c:pt idx="7">
                  <c:v>-2.372084E-3</c:v>
                </c:pt>
                <c:pt idx="8">
                  <c:v>-2.2567533999999999E-3</c:v>
                </c:pt>
                <c:pt idx="9">
                  <c:v>-2.1739716E-3</c:v>
                </c:pt>
                <c:pt idx="10">
                  <c:v>-2.320094E-3</c:v>
                </c:pt>
                <c:pt idx="11">
                  <c:v>-2.3747843000000001E-3</c:v>
                </c:pt>
                <c:pt idx="12">
                  <c:v>-2.2449985E-3</c:v>
                </c:pt>
                <c:pt idx="13">
                  <c:v>-2.2841615E-3</c:v>
                </c:pt>
                <c:pt idx="14">
                  <c:v>-2.2844448999999999E-3</c:v>
                </c:pt>
                <c:pt idx="15">
                  <c:v>-2.2852679E-3</c:v>
                </c:pt>
                <c:pt idx="16">
                  <c:v>-2.2446943999999999E-3</c:v>
                </c:pt>
                <c:pt idx="17">
                  <c:v>-2.3291154999999998E-3</c:v>
                </c:pt>
                <c:pt idx="18">
                  <c:v>-2.3727140000000002E-3</c:v>
                </c:pt>
                <c:pt idx="19">
                  <c:v>-2.4051010000000002E-3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AA_pho_pat!$A$4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AA_pho_pat!$B$4:$U$4</c:f>
              <c:numCache>
                <c:formatCode>General</c:formatCode>
                <c:ptCount val="20"/>
                <c:pt idx="0">
                  <c:v>-3.2723416E-3</c:v>
                </c:pt>
                <c:pt idx="1">
                  <c:v>-3.1985757000000002E-3</c:v>
                </c:pt>
                <c:pt idx="2">
                  <c:v>-2.9062469999999998E-3</c:v>
                </c:pt>
                <c:pt idx="3">
                  <c:v>-2.6705072E-3</c:v>
                </c:pt>
                <c:pt idx="4">
                  <c:v>-2.6064888E-3</c:v>
                </c:pt>
                <c:pt idx="5">
                  <c:v>-2.4060900000000001E-3</c:v>
                </c:pt>
                <c:pt idx="6">
                  <c:v>-2.4621299999999999E-3</c:v>
                </c:pt>
                <c:pt idx="7">
                  <c:v>-2.3429118999999999E-3</c:v>
                </c:pt>
                <c:pt idx="8">
                  <c:v>-2.345457E-3</c:v>
                </c:pt>
                <c:pt idx="9">
                  <c:v>-2.2013807E-3</c:v>
                </c:pt>
                <c:pt idx="10">
                  <c:v>-2.3600038000000001E-3</c:v>
                </c:pt>
                <c:pt idx="11">
                  <c:v>-2.3683552E-3</c:v>
                </c:pt>
                <c:pt idx="12">
                  <c:v>-2.2653521E-3</c:v>
                </c:pt>
                <c:pt idx="13">
                  <c:v>-2.2732210000000002E-3</c:v>
                </c:pt>
                <c:pt idx="14">
                  <c:v>-2.3324448000000002E-3</c:v>
                </c:pt>
                <c:pt idx="15">
                  <c:v>-2.3560043999999998E-3</c:v>
                </c:pt>
                <c:pt idx="16">
                  <c:v>-2.2707318000000001E-3</c:v>
                </c:pt>
                <c:pt idx="17">
                  <c:v>-2.3080219999999999E-3</c:v>
                </c:pt>
                <c:pt idx="18">
                  <c:v>-2.3201342999999998E-3</c:v>
                </c:pt>
                <c:pt idx="19">
                  <c:v>-2.3394654999999999E-3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AA_pho_pat!$A$5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AA_pho_pat!$B$5:$U$5</c:f>
              <c:numCache>
                <c:formatCode>General</c:formatCode>
                <c:ptCount val="20"/>
                <c:pt idx="0">
                  <c:v>-3.2585838000000001E-3</c:v>
                </c:pt>
                <c:pt idx="1">
                  <c:v>-3.1791821E-3</c:v>
                </c:pt>
                <c:pt idx="2">
                  <c:v>-2.8478616999999999E-3</c:v>
                </c:pt>
                <c:pt idx="3">
                  <c:v>-2.6131836E-3</c:v>
                </c:pt>
                <c:pt idx="4">
                  <c:v>-2.5614342000000001E-3</c:v>
                </c:pt>
                <c:pt idx="5">
                  <c:v>-2.3447505999999998E-3</c:v>
                </c:pt>
                <c:pt idx="6">
                  <c:v>-2.3423328999999998E-3</c:v>
                </c:pt>
                <c:pt idx="7">
                  <c:v>-2.2847457000000002E-3</c:v>
                </c:pt>
                <c:pt idx="8">
                  <c:v>-2.2316725999999999E-3</c:v>
                </c:pt>
                <c:pt idx="9">
                  <c:v>-2.1423445999999998E-3</c:v>
                </c:pt>
                <c:pt idx="10">
                  <c:v>-2.3319141000000001E-3</c:v>
                </c:pt>
                <c:pt idx="11">
                  <c:v>-2.3430954E-3</c:v>
                </c:pt>
                <c:pt idx="12">
                  <c:v>-2.2202101999999999E-3</c:v>
                </c:pt>
                <c:pt idx="13">
                  <c:v>-2.2063338999999999E-3</c:v>
                </c:pt>
                <c:pt idx="14">
                  <c:v>-2.2305291999999998E-3</c:v>
                </c:pt>
                <c:pt idx="15">
                  <c:v>-2.2150688E-3</c:v>
                </c:pt>
                <c:pt idx="16">
                  <c:v>-2.1436641E-3</c:v>
                </c:pt>
                <c:pt idx="17">
                  <c:v>-2.2506884E-3</c:v>
                </c:pt>
                <c:pt idx="18">
                  <c:v>-2.3382063999999999E-3</c:v>
                </c:pt>
                <c:pt idx="19">
                  <c:v>-2.3471133000000002E-3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AA_pho_pat!$A$6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AA_pho_pat!$B$6:$U$6</c:f>
              <c:numCache>
                <c:formatCode>General</c:formatCode>
                <c:ptCount val="20"/>
                <c:pt idx="0">
                  <c:v>-3.2684181E-3</c:v>
                </c:pt>
                <c:pt idx="1">
                  <c:v>-3.1973966000000001E-3</c:v>
                </c:pt>
                <c:pt idx="2">
                  <c:v>-2.9025977000000001E-3</c:v>
                </c:pt>
                <c:pt idx="3">
                  <c:v>-2.7127033E-3</c:v>
                </c:pt>
                <c:pt idx="4">
                  <c:v>-2.6333760000000002E-3</c:v>
                </c:pt>
                <c:pt idx="5">
                  <c:v>-2.3952143000000002E-3</c:v>
                </c:pt>
                <c:pt idx="6">
                  <c:v>-2.4389049999999999E-3</c:v>
                </c:pt>
                <c:pt idx="7">
                  <c:v>-2.3452860999999998E-3</c:v>
                </c:pt>
                <c:pt idx="8">
                  <c:v>-2.2903499E-3</c:v>
                </c:pt>
                <c:pt idx="9">
                  <c:v>-2.1944366999999999E-3</c:v>
                </c:pt>
                <c:pt idx="10">
                  <c:v>-2.3353548999999999E-3</c:v>
                </c:pt>
                <c:pt idx="11">
                  <c:v>-2.3427194000000002E-3</c:v>
                </c:pt>
                <c:pt idx="12">
                  <c:v>-2.2613523E-3</c:v>
                </c:pt>
                <c:pt idx="13">
                  <c:v>-2.1993171000000001E-3</c:v>
                </c:pt>
                <c:pt idx="14">
                  <c:v>-2.2134883000000001E-3</c:v>
                </c:pt>
                <c:pt idx="15">
                  <c:v>-2.347586E-3</c:v>
                </c:pt>
                <c:pt idx="16">
                  <c:v>-2.2974734000000001E-3</c:v>
                </c:pt>
                <c:pt idx="17">
                  <c:v>-2.3854523999999998E-3</c:v>
                </c:pt>
                <c:pt idx="18">
                  <c:v>-2.3663744999999998E-3</c:v>
                </c:pt>
                <c:pt idx="19">
                  <c:v>-2.3674893000000001E-3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AA_pho_pat!$A$7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AA_pho_pat!$B$7:$U$7</c:f>
              <c:numCache>
                <c:formatCode>General</c:formatCode>
                <c:ptCount val="20"/>
                <c:pt idx="0">
                  <c:v>-3.2356179E-3</c:v>
                </c:pt>
                <c:pt idx="1">
                  <c:v>-3.1492476999999998E-3</c:v>
                </c:pt>
                <c:pt idx="2">
                  <c:v>-2.8290785999999998E-3</c:v>
                </c:pt>
                <c:pt idx="3">
                  <c:v>-2.5586479000000001E-3</c:v>
                </c:pt>
                <c:pt idx="4">
                  <c:v>-2.5113327E-3</c:v>
                </c:pt>
                <c:pt idx="5">
                  <c:v>-2.2919872000000002E-3</c:v>
                </c:pt>
                <c:pt idx="6">
                  <c:v>-2.2591633999999999E-3</c:v>
                </c:pt>
                <c:pt idx="7">
                  <c:v>-2.2843647999999999E-3</c:v>
                </c:pt>
                <c:pt idx="8">
                  <c:v>-2.1878168999999999E-3</c:v>
                </c:pt>
                <c:pt idx="9">
                  <c:v>-2.1635081999999998E-3</c:v>
                </c:pt>
                <c:pt idx="10">
                  <c:v>-2.3388732000000001E-3</c:v>
                </c:pt>
                <c:pt idx="11">
                  <c:v>-2.4060635000000001E-3</c:v>
                </c:pt>
                <c:pt idx="12">
                  <c:v>-2.2894521E-3</c:v>
                </c:pt>
                <c:pt idx="13">
                  <c:v>-2.2331934999999998E-3</c:v>
                </c:pt>
                <c:pt idx="14">
                  <c:v>-2.1775216000000002E-3</c:v>
                </c:pt>
                <c:pt idx="15">
                  <c:v>-2.2334002E-3</c:v>
                </c:pt>
                <c:pt idx="16">
                  <c:v>-2.1634568000000001E-3</c:v>
                </c:pt>
                <c:pt idx="17">
                  <c:v>-2.2024061000000001E-3</c:v>
                </c:pt>
                <c:pt idx="18">
                  <c:v>-2.2913200999999999E-3</c:v>
                </c:pt>
                <c:pt idx="19">
                  <c:v>-2.2934677999999998E-3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AA_pho_pat!$A$8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AA_pho_pat!$B$8:$U$8</c:f>
              <c:numCache>
                <c:formatCode>General</c:formatCode>
                <c:ptCount val="20"/>
                <c:pt idx="0">
                  <c:v>-3.2280617999999998E-3</c:v>
                </c:pt>
                <c:pt idx="1">
                  <c:v>-3.1548624000000002E-3</c:v>
                </c:pt>
                <c:pt idx="2">
                  <c:v>-2.8506368E-3</c:v>
                </c:pt>
                <c:pt idx="3">
                  <c:v>-2.6096341E-3</c:v>
                </c:pt>
                <c:pt idx="4">
                  <c:v>-2.545163E-3</c:v>
                </c:pt>
                <c:pt idx="5">
                  <c:v>-2.3128020000000001E-3</c:v>
                </c:pt>
                <c:pt idx="6">
                  <c:v>-2.3368807000000002E-3</c:v>
                </c:pt>
                <c:pt idx="7">
                  <c:v>-2.2730951000000002E-3</c:v>
                </c:pt>
                <c:pt idx="8">
                  <c:v>-2.1891017E-3</c:v>
                </c:pt>
                <c:pt idx="9">
                  <c:v>-2.1035816E-3</c:v>
                </c:pt>
                <c:pt idx="10">
                  <c:v>-2.2663361999999999E-3</c:v>
                </c:pt>
                <c:pt idx="11">
                  <c:v>-2.3441987999999999E-3</c:v>
                </c:pt>
                <c:pt idx="12">
                  <c:v>-2.1711731999999998E-3</c:v>
                </c:pt>
                <c:pt idx="13">
                  <c:v>-2.1951409999999998E-3</c:v>
                </c:pt>
                <c:pt idx="14">
                  <c:v>-2.2113824000000002E-3</c:v>
                </c:pt>
                <c:pt idx="15">
                  <c:v>-2.2366858999999998E-3</c:v>
                </c:pt>
                <c:pt idx="16">
                  <c:v>-2.2028540000000002E-3</c:v>
                </c:pt>
                <c:pt idx="17">
                  <c:v>-2.3043453999999999E-3</c:v>
                </c:pt>
                <c:pt idx="18">
                  <c:v>-2.3485580000000002E-3</c:v>
                </c:pt>
                <c:pt idx="19">
                  <c:v>-2.3272560999999998E-3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AA_pho_pat!$A$9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AA_pho_pat!$B$9:$U$9</c:f>
              <c:numCache>
                <c:formatCode>General</c:formatCode>
                <c:ptCount val="20"/>
                <c:pt idx="0">
                  <c:v>-3.3310293000000002E-3</c:v>
                </c:pt>
                <c:pt idx="1">
                  <c:v>-3.2665413000000001E-3</c:v>
                </c:pt>
                <c:pt idx="2">
                  <c:v>-2.9963194E-3</c:v>
                </c:pt>
                <c:pt idx="3">
                  <c:v>-2.7844306999999999E-3</c:v>
                </c:pt>
                <c:pt idx="4">
                  <c:v>-2.7607284000000002E-3</c:v>
                </c:pt>
                <c:pt idx="5">
                  <c:v>-2.58844E-3</c:v>
                </c:pt>
                <c:pt idx="6">
                  <c:v>-2.6153978E-3</c:v>
                </c:pt>
                <c:pt idx="7">
                  <c:v>-2.5157501999999998E-3</c:v>
                </c:pt>
                <c:pt idx="8">
                  <c:v>-2.4591094999999999E-3</c:v>
                </c:pt>
                <c:pt idx="9">
                  <c:v>-2.3586443000000001E-3</c:v>
                </c:pt>
                <c:pt idx="10">
                  <c:v>-2.4691626999999998E-3</c:v>
                </c:pt>
                <c:pt idx="11">
                  <c:v>-2.4047610000000001E-3</c:v>
                </c:pt>
                <c:pt idx="12">
                  <c:v>-2.2461221000000002E-3</c:v>
                </c:pt>
                <c:pt idx="13">
                  <c:v>-2.2773359E-3</c:v>
                </c:pt>
                <c:pt idx="14">
                  <c:v>-2.3077220999999999E-3</c:v>
                </c:pt>
                <c:pt idx="15">
                  <c:v>-2.3269330000000002E-3</c:v>
                </c:pt>
                <c:pt idx="16">
                  <c:v>-2.3176681999999998E-3</c:v>
                </c:pt>
                <c:pt idx="17">
                  <c:v>-2.2450711E-3</c:v>
                </c:pt>
                <c:pt idx="18">
                  <c:v>-2.2870309000000001E-3</c:v>
                </c:pt>
                <c:pt idx="19">
                  <c:v>-2.2842525999999998E-3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AA_pho_pat!$A$10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AA_pho_pat!$B$10:$U$10</c:f>
              <c:numCache>
                <c:formatCode>General</c:formatCode>
                <c:ptCount val="20"/>
                <c:pt idx="0">
                  <c:v>-3.3381639999999998E-3</c:v>
                </c:pt>
                <c:pt idx="1">
                  <c:v>-3.2790142999999999E-3</c:v>
                </c:pt>
                <c:pt idx="2">
                  <c:v>-3.0089854000000002E-3</c:v>
                </c:pt>
                <c:pt idx="3">
                  <c:v>-2.7949396E-3</c:v>
                </c:pt>
                <c:pt idx="4">
                  <c:v>-2.7320322000000002E-3</c:v>
                </c:pt>
                <c:pt idx="5">
                  <c:v>-2.5597224000000001E-3</c:v>
                </c:pt>
                <c:pt idx="6">
                  <c:v>-2.5298737E-3</c:v>
                </c:pt>
                <c:pt idx="7">
                  <c:v>-2.532776E-3</c:v>
                </c:pt>
                <c:pt idx="8">
                  <c:v>-2.4737172999999999E-3</c:v>
                </c:pt>
                <c:pt idx="9">
                  <c:v>-2.2944910000000001E-3</c:v>
                </c:pt>
                <c:pt idx="10">
                  <c:v>-2.3265667000000002E-3</c:v>
                </c:pt>
                <c:pt idx="11">
                  <c:v>-2.3103438000000001E-3</c:v>
                </c:pt>
                <c:pt idx="12">
                  <c:v>-2.1716502999999999E-3</c:v>
                </c:pt>
                <c:pt idx="13">
                  <c:v>-2.1606109000000002E-3</c:v>
                </c:pt>
                <c:pt idx="14">
                  <c:v>-2.1612536999999999E-3</c:v>
                </c:pt>
                <c:pt idx="15">
                  <c:v>-2.167857E-3</c:v>
                </c:pt>
                <c:pt idx="16">
                  <c:v>-2.1660453999999998E-3</c:v>
                </c:pt>
                <c:pt idx="17">
                  <c:v>-2.2032743E-3</c:v>
                </c:pt>
                <c:pt idx="18">
                  <c:v>-2.2708174999999998E-3</c:v>
                </c:pt>
                <c:pt idx="19">
                  <c:v>-2.2684073000000002E-3</c:v>
                </c:pt>
              </c:numCache>
            </c:numRef>
          </c:yVal>
          <c:smooth val="1"/>
        </c:ser>
        <c:axId val="64740736"/>
        <c:axId val="64751104"/>
      </c:scatterChart>
      <c:valAx>
        <c:axId val="647407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51104"/>
        <c:crosses val="autoZero"/>
        <c:crossBetween val="midCat"/>
      </c:valAx>
      <c:valAx>
        <c:axId val="64751104"/>
        <c:scaling>
          <c:orientation val="minMax"/>
        </c:scaling>
        <c:axPos val="l"/>
        <c:numFmt formatCode="General" sourceLinked="1"/>
        <c:tickLblPos val="nextTo"/>
        <c:crossAx val="64740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84547244091"/>
          <c:y val="7.9861355565848391E-2"/>
          <c:w val="0.1500002050524937"/>
          <c:h val="0.836808398950131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AA_T_pho_den!$A$3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AA_T_pho_den!$B$3:$U$3</c:f>
              <c:numCache>
                <c:formatCode>General</c:formatCode>
                <c:ptCount val="20"/>
                <c:pt idx="0">
                  <c:v>-2.3828105888662487E-3</c:v>
                </c:pt>
                <c:pt idx="1">
                  <c:v>-1.816160460965506E-3</c:v>
                </c:pt>
                <c:pt idx="2">
                  <c:v>-1.0694385020708294E-3</c:v>
                </c:pt>
                <c:pt idx="3">
                  <c:v>-7.8245720162680918E-4</c:v>
                </c:pt>
                <c:pt idx="4">
                  <c:v>-6.5844466094401111E-4</c:v>
                </c:pt>
                <c:pt idx="5">
                  <c:v>-4.8895555528641387E-4</c:v>
                </c:pt>
                <c:pt idx="6">
                  <c:v>-4.9316473716991759E-4</c:v>
                </c:pt>
                <c:pt idx="7">
                  <c:v>-4.7868179901527257E-4</c:v>
                </c:pt>
                <c:pt idx="8">
                  <c:v>-4.2712974809193979E-4</c:v>
                </c:pt>
                <c:pt idx="9">
                  <c:v>-4.0122028661909525E-4</c:v>
                </c:pt>
                <c:pt idx="10">
                  <c:v>-4.338130161590825E-4</c:v>
                </c:pt>
                <c:pt idx="11">
                  <c:v>-4.2705006017505569E-4</c:v>
                </c:pt>
                <c:pt idx="12">
                  <c:v>-4.1986827638843124E-4</c:v>
                </c:pt>
                <c:pt idx="13">
                  <c:v>-4.1174610259015008E-4</c:v>
                </c:pt>
                <c:pt idx="14">
                  <c:v>-4.1579390782120744E-4</c:v>
                </c:pt>
                <c:pt idx="15">
                  <c:v>-4.1504931772473418E-4</c:v>
                </c:pt>
                <c:pt idx="16">
                  <c:v>-3.5584382864405967E-4</c:v>
                </c:pt>
                <c:pt idx="17">
                  <c:v>-3.7128647653651112E-4</c:v>
                </c:pt>
                <c:pt idx="18">
                  <c:v>-3.8745947967483836E-4</c:v>
                </c:pt>
                <c:pt idx="19">
                  <c:v>-3.8484576140554867E-4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AA_T_pho_den!$A$4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AA_T_pho_den!$B$4:$U$4</c:f>
              <c:numCache>
                <c:formatCode>General</c:formatCode>
                <c:ptCount val="20"/>
                <c:pt idx="0">
                  <c:v>-2.4083686056635659E-3</c:v>
                </c:pt>
                <c:pt idx="1">
                  <c:v>-1.844031735488818E-3</c:v>
                </c:pt>
                <c:pt idx="2">
                  <c:v>-1.0962464871386811E-3</c:v>
                </c:pt>
                <c:pt idx="3">
                  <c:v>-7.8313578936232216E-4</c:v>
                </c:pt>
                <c:pt idx="4">
                  <c:v>-6.5032972447161969E-4</c:v>
                </c:pt>
                <c:pt idx="5">
                  <c:v>-5.2392252652554529E-4</c:v>
                </c:pt>
                <c:pt idx="6">
                  <c:v>-5.0346260401560011E-4</c:v>
                </c:pt>
                <c:pt idx="7">
                  <c:v>-4.7804013566801393E-4</c:v>
                </c:pt>
                <c:pt idx="8">
                  <c:v>-4.5668571181319662E-4</c:v>
                </c:pt>
                <c:pt idx="9">
                  <c:v>-4.3511325231941682E-4</c:v>
                </c:pt>
                <c:pt idx="10">
                  <c:v>-4.632252648165921E-4</c:v>
                </c:pt>
                <c:pt idx="11">
                  <c:v>-4.61139822192579E-4</c:v>
                </c:pt>
                <c:pt idx="12">
                  <c:v>-4.2297575470732275E-4</c:v>
                </c:pt>
                <c:pt idx="13">
                  <c:v>-4.1183642735420173E-4</c:v>
                </c:pt>
                <c:pt idx="14">
                  <c:v>-4.1355501845797286E-4</c:v>
                </c:pt>
                <c:pt idx="15">
                  <c:v>-3.9973036394342086E-4</c:v>
                </c:pt>
                <c:pt idx="16">
                  <c:v>-3.8453921095318747E-4</c:v>
                </c:pt>
                <c:pt idx="17">
                  <c:v>-3.7201470109425919E-4</c:v>
                </c:pt>
                <c:pt idx="18">
                  <c:v>-3.736885188434522E-4</c:v>
                </c:pt>
                <c:pt idx="19">
                  <c:v>-3.8164591371419421E-4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AA_T_pho_den!$A$5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AA_T_pho_den!$B$5:$U$5</c:f>
              <c:numCache>
                <c:formatCode>General</c:formatCode>
                <c:ptCount val="20"/>
                <c:pt idx="0">
                  <c:v>-2.3365067272640432E-3</c:v>
                </c:pt>
                <c:pt idx="1">
                  <c:v>-1.7546593091756603E-3</c:v>
                </c:pt>
                <c:pt idx="2">
                  <c:v>-1.0426293648910507E-3</c:v>
                </c:pt>
                <c:pt idx="3">
                  <c:v>-7.7289519654691146E-4</c:v>
                </c:pt>
                <c:pt idx="4">
                  <c:v>-6.4373878093665566E-4</c:v>
                </c:pt>
                <c:pt idx="5">
                  <c:v>-5.1874058458533973E-4</c:v>
                </c:pt>
                <c:pt idx="6">
                  <c:v>-4.7582249998785048E-4</c:v>
                </c:pt>
                <c:pt idx="7">
                  <c:v>-4.3936039542780803E-4</c:v>
                </c:pt>
                <c:pt idx="8">
                  <c:v>-3.9611544895808528E-4</c:v>
                </c:pt>
                <c:pt idx="9">
                  <c:v>-3.8674254189098969E-4</c:v>
                </c:pt>
                <c:pt idx="10">
                  <c:v>-4.3112727523886746E-4</c:v>
                </c:pt>
                <c:pt idx="11">
                  <c:v>-4.3897768342329615E-4</c:v>
                </c:pt>
                <c:pt idx="12">
                  <c:v>-4.2379936438202611E-4</c:v>
                </c:pt>
                <c:pt idx="13">
                  <c:v>-4.3753806639143376E-4</c:v>
                </c:pt>
                <c:pt idx="14">
                  <c:v>-4.1491204667999773E-4</c:v>
                </c:pt>
                <c:pt idx="15">
                  <c:v>-3.9330586214252836E-4</c:v>
                </c:pt>
                <c:pt idx="16">
                  <c:v>-3.8517213139837409E-4</c:v>
                </c:pt>
                <c:pt idx="17">
                  <c:v>-3.8960040112098987E-4</c:v>
                </c:pt>
                <c:pt idx="18">
                  <c:v>-4.0631262667511299E-4</c:v>
                </c:pt>
                <c:pt idx="19">
                  <c:v>-4.2142298306881365E-4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AA_T_pho_den!$A$6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AA_T_pho_den!$B$6:$U$6</c:f>
              <c:numCache>
                <c:formatCode>General</c:formatCode>
                <c:ptCount val="20"/>
                <c:pt idx="0">
                  <c:v>-2.3657171179965529E-3</c:v>
                </c:pt>
                <c:pt idx="1">
                  <c:v>-1.8081831667970285E-3</c:v>
                </c:pt>
                <c:pt idx="2">
                  <c:v>-1.0651885228579717E-3</c:v>
                </c:pt>
                <c:pt idx="3">
                  <c:v>-7.7657386378135614E-4</c:v>
                </c:pt>
                <c:pt idx="4">
                  <c:v>-6.2665481031942889E-4</c:v>
                </c:pt>
                <c:pt idx="5">
                  <c:v>-4.9890585970234231E-4</c:v>
                </c:pt>
                <c:pt idx="6">
                  <c:v>-4.9738878372920022E-4</c:v>
                </c:pt>
                <c:pt idx="7">
                  <c:v>-4.4630061094641418E-4</c:v>
                </c:pt>
                <c:pt idx="8">
                  <c:v>-4.2121083124229552E-4</c:v>
                </c:pt>
                <c:pt idx="9">
                  <c:v>-3.8869573400763065E-4</c:v>
                </c:pt>
                <c:pt idx="10">
                  <c:v>-4.3295718686823864E-4</c:v>
                </c:pt>
                <c:pt idx="11">
                  <c:v>-4.2954035205329403E-4</c:v>
                </c:pt>
                <c:pt idx="12">
                  <c:v>-4.0797551932487242E-4</c:v>
                </c:pt>
                <c:pt idx="13">
                  <c:v>-4.1359081469895844E-4</c:v>
                </c:pt>
                <c:pt idx="14">
                  <c:v>-4.2050079085094872E-4</c:v>
                </c:pt>
                <c:pt idx="15">
                  <c:v>-3.9942964258151201E-4</c:v>
                </c:pt>
                <c:pt idx="16">
                  <c:v>-3.8085671503491355E-4</c:v>
                </c:pt>
                <c:pt idx="17">
                  <c:v>-3.9520172924986018E-4</c:v>
                </c:pt>
                <c:pt idx="18">
                  <c:v>-3.8902353995816591E-4</c:v>
                </c:pt>
                <c:pt idx="19">
                  <c:v>-3.7338845526600138E-4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AA_T_pho_den!$A$7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AA_T_pho_den!$B$7:$U$7</c:f>
              <c:numCache>
                <c:formatCode>General</c:formatCode>
                <c:ptCount val="20"/>
                <c:pt idx="0">
                  <c:v>-2.3800870612141066E-3</c:v>
                </c:pt>
                <c:pt idx="1">
                  <c:v>-1.8103656743422311E-3</c:v>
                </c:pt>
                <c:pt idx="2">
                  <c:v>-1.0907816379568834E-3</c:v>
                </c:pt>
                <c:pt idx="3">
                  <c:v>-8.2120878046137514E-4</c:v>
                </c:pt>
                <c:pt idx="4">
                  <c:v>-6.885592640764772E-4</c:v>
                </c:pt>
                <c:pt idx="5">
                  <c:v>-5.6426938683803985E-4</c:v>
                </c:pt>
                <c:pt idx="6">
                  <c:v>-5.1496923208430901E-4</c:v>
                </c:pt>
                <c:pt idx="7">
                  <c:v>-5.0101375979323757E-4</c:v>
                </c:pt>
                <c:pt idx="8">
                  <c:v>-4.5201651668935305E-4</c:v>
                </c:pt>
                <c:pt idx="9">
                  <c:v>-4.3894563935342512E-4</c:v>
                </c:pt>
                <c:pt idx="10">
                  <c:v>-4.5758306270876056E-4</c:v>
                </c:pt>
                <c:pt idx="11">
                  <c:v>-4.7008502424549143E-4</c:v>
                </c:pt>
                <c:pt idx="12">
                  <c:v>-4.3215204834356737E-4</c:v>
                </c:pt>
                <c:pt idx="13">
                  <c:v>-4.1215952514817738E-4</c:v>
                </c:pt>
                <c:pt idx="14">
                  <c:v>-4.0095196400116587E-4</c:v>
                </c:pt>
                <c:pt idx="15">
                  <c:v>-4.050237683132853E-4</c:v>
                </c:pt>
                <c:pt idx="16">
                  <c:v>-3.913220242766266E-4</c:v>
                </c:pt>
                <c:pt idx="17">
                  <c:v>-4.092403789802408E-4</c:v>
                </c:pt>
                <c:pt idx="18">
                  <c:v>-4.2385242344891244E-4</c:v>
                </c:pt>
                <c:pt idx="19">
                  <c:v>-4.135762011725249E-4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AA_T_pho_den!$A$8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AA_T_pho_den!$B$8:$U$8</c:f>
              <c:numCache>
                <c:formatCode>General</c:formatCode>
                <c:ptCount val="20"/>
                <c:pt idx="0">
                  <c:v>-2.4116605622651862E-3</c:v>
                </c:pt>
                <c:pt idx="1">
                  <c:v>-1.8722822172162019E-3</c:v>
                </c:pt>
                <c:pt idx="2">
                  <c:v>-1.1355012201811137E-3</c:v>
                </c:pt>
                <c:pt idx="3">
                  <c:v>-8.2532894064671694E-4</c:v>
                </c:pt>
                <c:pt idx="4">
                  <c:v>-6.9938793102366592E-4</c:v>
                </c:pt>
                <c:pt idx="5">
                  <c:v>-5.6996752126048974E-4</c:v>
                </c:pt>
                <c:pt idx="6">
                  <c:v>-5.3379551758406382E-4</c:v>
                </c:pt>
                <c:pt idx="7">
                  <c:v>-5.0594504878774234E-4</c:v>
                </c:pt>
                <c:pt idx="8">
                  <c:v>-4.5883875434584765E-4</c:v>
                </c:pt>
                <c:pt idx="9">
                  <c:v>-4.2536633676509795E-4</c:v>
                </c:pt>
                <c:pt idx="10">
                  <c:v>-4.2235022684312978E-4</c:v>
                </c:pt>
                <c:pt idx="11">
                  <c:v>-4.4266680488874537E-4</c:v>
                </c:pt>
                <c:pt idx="12">
                  <c:v>-3.7624802298619322E-4</c:v>
                </c:pt>
                <c:pt idx="13">
                  <c:v>-3.7565017236013365E-4</c:v>
                </c:pt>
                <c:pt idx="14">
                  <c:v>-3.6067754926130289E-4</c:v>
                </c:pt>
                <c:pt idx="15">
                  <c:v>-3.7915945882304949E-4</c:v>
                </c:pt>
                <c:pt idx="16">
                  <c:v>-3.8011969854997681E-4</c:v>
                </c:pt>
                <c:pt idx="17">
                  <c:v>-3.8106792467580106E-4</c:v>
                </c:pt>
                <c:pt idx="18">
                  <c:v>-3.926539549135197E-4</c:v>
                </c:pt>
                <c:pt idx="19">
                  <c:v>-3.6045438873415474E-4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AA_T_pho_den!$A$9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AA_T_pho_den!$B$9:$U$9</c:f>
              <c:numCache>
                <c:formatCode>General</c:formatCode>
                <c:ptCount val="20"/>
                <c:pt idx="0">
                  <c:v>-2.5258746214382988E-3</c:v>
                </c:pt>
                <c:pt idx="1">
                  <c:v>-1.929066845330851E-3</c:v>
                </c:pt>
                <c:pt idx="2">
                  <c:v>-1.1831557257994541E-3</c:v>
                </c:pt>
                <c:pt idx="3">
                  <c:v>-9.1174585485287343E-4</c:v>
                </c:pt>
                <c:pt idx="4">
                  <c:v>-7.6376993168450144E-4</c:v>
                </c:pt>
                <c:pt idx="5">
                  <c:v>-6.3962055410019274E-4</c:v>
                </c:pt>
                <c:pt idx="6">
                  <c:v>-6.0757848805886188E-4</c:v>
                </c:pt>
                <c:pt idx="7">
                  <c:v>-5.5391744646039157E-4</c:v>
                </c:pt>
                <c:pt idx="8">
                  <c:v>-5.6036403008459599E-4</c:v>
                </c:pt>
                <c:pt idx="9">
                  <c:v>-4.9160532992768662E-4</c:v>
                </c:pt>
                <c:pt idx="10">
                  <c:v>-5.0868089533482349E-4</c:v>
                </c:pt>
                <c:pt idx="11">
                  <c:v>-4.7607143770112974E-4</c:v>
                </c:pt>
                <c:pt idx="12">
                  <c:v>-4.4205925841590002E-4</c:v>
                </c:pt>
                <c:pt idx="13">
                  <c:v>-4.3901364319943342E-4</c:v>
                </c:pt>
                <c:pt idx="14">
                  <c:v>-4.4099496649875093E-4</c:v>
                </c:pt>
                <c:pt idx="15">
                  <c:v>-4.4406639999937261E-4</c:v>
                </c:pt>
                <c:pt idx="16">
                  <c:v>-4.4930826310979148E-4</c:v>
                </c:pt>
                <c:pt idx="17">
                  <c:v>-4.0522479631861867E-4</c:v>
                </c:pt>
                <c:pt idx="18">
                  <c:v>-4.2200749095603707E-4</c:v>
                </c:pt>
                <c:pt idx="19">
                  <c:v>-4.0870371088268692E-4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AA_T_pho_den!$A$10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AA_T_pho_den!$B$10:$U$10</c:f>
              <c:numCache>
                <c:formatCode>General</c:formatCode>
                <c:ptCount val="20"/>
                <c:pt idx="0">
                  <c:v>-2.457612318200064E-3</c:v>
                </c:pt>
                <c:pt idx="1">
                  <c:v>-1.9110303633920972E-3</c:v>
                </c:pt>
                <c:pt idx="2">
                  <c:v>-1.1677324156085303E-3</c:v>
                </c:pt>
                <c:pt idx="3">
                  <c:v>-8.9614053588712723E-4</c:v>
                </c:pt>
                <c:pt idx="4">
                  <c:v>-7.4631994781005555E-4</c:v>
                </c:pt>
                <c:pt idx="5">
                  <c:v>-6.2911262104158603E-4</c:v>
                </c:pt>
                <c:pt idx="6">
                  <c:v>-5.7397060614513076E-4</c:v>
                </c:pt>
                <c:pt idx="7">
                  <c:v>-5.5187437305033503E-4</c:v>
                </c:pt>
                <c:pt idx="8">
                  <c:v>-5.3882544729170513E-4</c:v>
                </c:pt>
                <c:pt idx="9">
                  <c:v>-4.5358437796716255E-4</c:v>
                </c:pt>
                <c:pt idx="10">
                  <c:v>-4.4845143910141223E-4</c:v>
                </c:pt>
                <c:pt idx="11">
                  <c:v>-4.3054513908961185E-4</c:v>
                </c:pt>
                <c:pt idx="12">
                  <c:v>-3.9753224687183295E-4</c:v>
                </c:pt>
                <c:pt idx="13">
                  <c:v>-3.7719024588431921E-4</c:v>
                </c:pt>
                <c:pt idx="14">
                  <c:v>-3.6601891277093101E-4</c:v>
                </c:pt>
                <c:pt idx="15">
                  <c:v>-3.7295199659736919E-4</c:v>
                </c:pt>
                <c:pt idx="16">
                  <c:v>-3.6621817425603969E-4</c:v>
                </c:pt>
                <c:pt idx="17">
                  <c:v>-3.7487642086159135E-4</c:v>
                </c:pt>
                <c:pt idx="18">
                  <c:v>-4.0065142269506761E-4</c:v>
                </c:pt>
                <c:pt idx="19">
                  <c:v>-3.9251044606363839E-4</c:v>
                </c:pt>
              </c:numCache>
            </c:numRef>
          </c:yVal>
          <c:smooth val="1"/>
        </c:ser>
        <c:axId val="64850176"/>
        <c:axId val="64864640"/>
      </c:scatterChart>
      <c:valAx>
        <c:axId val="6485017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864640"/>
        <c:crosses val="autoZero"/>
        <c:crossBetween val="midCat"/>
      </c:valAx>
      <c:valAx>
        <c:axId val="64864640"/>
        <c:scaling>
          <c:orientation val="minMax"/>
        </c:scaling>
        <c:axPos val="l"/>
        <c:numFmt formatCode="General" sourceLinked="1"/>
        <c:tickLblPos val="nextTo"/>
        <c:crossAx val="64850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1118316132"/>
          <c:y val="7.9861565976819329E-2"/>
          <c:w val="0.15000030878493145"/>
          <c:h val="0.8368085847676115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AA_S_pho_den!$B$4:$U$4</c:f>
              <c:numCache>
                <c:formatCode>General</c:formatCode>
                <c:ptCount val="20"/>
                <c:pt idx="0">
                  <c:v>-1.2463701117184273E-2</c:v>
                </c:pt>
                <c:pt idx="1">
                  <c:v>-1.2438204617345185E-2</c:v>
                </c:pt>
                <c:pt idx="2">
                  <c:v>-1.1518227632804091E-2</c:v>
                </c:pt>
                <c:pt idx="3">
                  <c:v>-1.0717514759307555E-2</c:v>
                </c:pt>
                <c:pt idx="4">
                  <c:v>-1.0584276993163664E-2</c:v>
                </c:pt>
                <c:pt idx="5">
                  <c:v>-9.8581965702477532E-3</c:v>
                </c:pt>
                <c:pt idx="6">
                  <c:v>-1.0166541655859344E-2</c:v>
                </c:pt>
                <c:pt idx="7">
                  <c:v>-9.7381078244933531E-3</c:v>
                </c:pt>
                <c:pt idx="8">
                  <c:v>-9.7945624784857681E-3</c:v>
                </c:pt>
                <c:pt idx="9">
                  <c:v>-9.2137800760649716E-3</c:v>
                </c:pt>
                <c:pt idx="10">
                  <c:v>-9.9079399661633899E-3</c:v>
                </c:pt>
                <c:pt idx="11">
                  <c:v>-9.9843810769245384E-3</c:v>
                </c:pt>
                <c:pt idx="12">
                  <c:v>-9.5652481260081607E-3</c:v>
                </c:pt>
                <c:pt idx="13">
                  <c:v>-9.6104104055437338E-3</c:v>
                </c:pt>
                <c:pt idx="14">
                  <c:v>-9.8780820328363411E-3</c:v>
                </c:pt>
                <c:pt idx="15">
                  <c:v>-1.0033433794142699E-2</c:v>
                </c:pt>
                <c:pt idx="16">
                  <c:v>-9.6795667365478667E-3</c:v>
                </c:pt>
                <c:pt idx="17">
                  <c:v>-9.8480372381691238E-3</c:v>
                </c:pt>
                <c:pt idx="18">
                  <c:v>-9.9250880724710607E-3</c:v>
                </c:pt>
                <c:pt idx="19">
                  <c:v>-1.0019561227165456E-2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64906368"/>
        <c:axId val="64908288"/>
      </c:scatterChart>
      <c:valAx>
        <c:axId val="6490636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08288"/>
        <c:crosses val="autoZero"/>
        <c:crossBetween val="midCat"/>
      </c:valAx>
      <c:valAx>
        <c:axId val="64908288"/>
        <c:scaling>
          <c:orientation val="minMax"/>
        </c:scaling>
        <c:axPos val="l"/>
        <c:numFmt formatCode="General" sourceLinked="1"/>
        <c:tickLblPos val="nextTo"/>
        <c:crossAx val="64906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1312335958042"/>
          <c:w val="0.14375021872265947"/>
          <c:h val="0.24997375328083998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AA_S_pho_den!$A$3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AA_S_pho_den!$B$3:$U$3</c:f>
              <c:numCache>
                <c:formatCode>General</c:formatCode>
                <c:ptCount val="20"/>
                <c:pt idx="0">
                  <c:v>-1.2414541274604054E-2</c:v>
                </c:pt>
                <c:pt idx="1">
                  <c:v>-1.2383895579696515E-2</c:v>
                </c:pt>
                <c:pt idx="2">
                  <c:v>-1.1483068233570841E-2</c:v>
                </c:pt>
                <c:pt idx="3">
                  <c:v>-1.0812323834640303E-2</c:v>
                </c:pt>
                <c:pt idx="4">
                  <c:v>-1.0718960948674028E-2</c:v>
                </c:pt>
                <c:pt idx="5">
                  <c:v>-9.8005210230721913E-3</c:v>
                </c:pt>
                <c:pt idx="6">
                  <c:v>-9.890770137056323E-3</c:v>
                </c:pt>
                <c:pt idx="7">
                  <c:v>-9.8533630287811098E-3</c:v>
                </c:pt>
                <c:pt idx="8">
                  <c:v>-9.4079355210795433E-3</c:v>
                </c:pt>
                <c:pt idx="9">
                  <c:v>-9.0945270718050999E-3</c:v>
                </c:pt>
                <c:pt idx="10">
                  <c:v>-9.7359039569555675E-3</c:v>
                </c:pt>
                <c:pt idx="11">
                  <c:v>-9.993267081535015E-3</c:v>
                </c:pt>
                <c:pt idx="12">
                  <c:v>-9.4658375971195755E-3</c:v>
                </c:pt>
                <c:pt idx="13">
                  <c:v>-9.6501845018450178E-3</c:v>
                </c:pt>
                <c:pt idx="14">
                  <c:v>-9.678728961114335E-3</c:v>
                </c:pt>
                <c:pt idx="15">
                  <c:v>-9.7245431789737165E-3</c:v>
                </c:pt>
                <c:pt idx="16">
                  <c:v>-9.555522614975295E-3</c:v>
                </c:pt>
                <c:pt idx="17">
                  <c:v>-9.931061946902655E-3</c:v>
                </c:pt>
                <c:pt idx="18">
                  <c:v>-1.0138103217158178E-2</c:v>
                </c:pt>
                <c:pt idx="19">
                  <c:v>-1.0299295209206888E-2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AA_S_pho_den!$A$4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AA_S_pho_den!$B$4:$U$4</c:f>
              <c:numCache>
                <c:formatCode>General</c:formatCode>
                <c:ptCount val="20"/>
                <c:pt idx="0">
                  <c:v>-1.2463701117184273E-2</c:v>
                </c:pt>
                <c:pt idx="1">
                  <c:v>-1.2438204617345185E-2</c:v>
                </c:pt>
                <c:pt idx="2">
                  <c:v>-1.1518227632804091E-2</c:v>
                </c:pt>
                <c:pt idx="3">
                  <c:v>-1.0717514759307555E-2</c:v>
                </c:pt>
                <c:pt idx="4">
                  <c:v>-1.0584276993163664E-2</c:v>
                </c:pt>
                <c:pt idx="5">
                  <c:v>-9.8581965702477532E-3</c:v>
                </c:pt>
                <c:pt idx="6">
                  <c:v>-1.0166541655859344E-2</c:v>
                </c:pt>
                <c:pt idx="7">
                  <c:v>-9.7381078244933531E-3</c:v>
                </c:pt>
                <c:pt idx="8">
                  <c:v>-9.7945624784857681E-3</c:v>
                </c:pt>
                <c:pt idx="9">
                  <c:v>-9.2137800760649716E-3</c:v>
                </c:pt>
                <c:pt idx="10">
                  <c:v>-9.9079399661633899E-3</c:v>
                </c:pt>
                <c:pt idx="11">
                  <c:v>-9.9843810769245384E-3</c:v>
                </c:pt>
                <c:pt idx="12">
                  <c:v>-9.5652481260081607E-3</c:v>
                </c:pt>
                <c:pt idx="13">
                  <c:v>-9.6104104055437338E-3</c:v>
                </c:pt>
                <c:pt idx="14">
                  <c:v>-9.8780820328363411E-3</c:v>
                </c:pt>
                <c:pt idx="15">
                  <c:v>-1.0033433794142699E-2</c:v>
                </c:pt>
                <c:pt idx="16">
                  <c:v>-9.6795667365478667E-3</c:v>
                </c:pt>
                <c:pt idx="17">
                  <c:v>-9.8480372381691238E-3</c:v>
                </c:pt>
                <c:pt idx="18">
                  <c:v>-9.9250880724710607E-3</c:v>
                </c:pt>
                <c:pt idx="19">
                  <c:v>-1.0019561227165456E-2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AA_S_pho_den!$A$5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AA_S_pho_den!$B$5:$U$5</c:f>
              <c:numCache>
                <c:formatCode>General</c:formatCode>
                <c:ptCount val="20"/>
                <c:pt idx="0">
                  <c:v>-1.2405385168078332E-2</c:v>
                </c:pt>
                <c:pt idx="1">
                  <c:v>-1.2356500085762374E-2</c:v>
                </c:pt>
                <c:pt idx="2">
                  <c:v>-1.1284030065192073E-2</c:v>
                </c:pt>
                <c:pt idx="3">
                  <c:v>-1.048011053878257E-2</c:v>
                </c:pt>
                <c:pt idx="4">
                  <c:v>-1.039376066374053E-2</c:v>
                </c:pt>
                <c:pt idx="5">
                  <c:v>-9.5902702631127882E-3</c:v>
                </c:pt>
                <c:pt idx="6">
                  <c:v>-9.6369515862612283E-3</c:v>
                </c:pt>
                <c:pt idx="7">
                  <c:v>-9.4608739815850249E-3</c:v>
                </c:pt>
                <c:pt idx="8">
                  <c:v>-9.2913071412418034E-3</c:v>
                </c:pt>
                <c:pt idx="9">
                  <c:v>-8.9567311368725123E-3</c:v>
                </c:pt>
                <c:pt idx="10">
                  <c:v>-9.7689090076994774E-3</c:v>
                </c:pt>
                <c:pt idx="11">
                  <c:v>-9.8390265493930283E-3</c:v>
                </c:pt>
                <c:pt idx="12">
                  <c:v>-9.3614632564173843E-3</c:v>
                </c:pt>
                <c:pt idx="13">
                  <c:v>-9.3157579790138223E-3</c:v>
                </c:pt>
                <c:pt idx="14">
                  <c:v>-9.4193640158715432E-3</c:v>
                </c:pt>
                <c:pt idx="15">
                  <c:v>-9.3765375996015931E-3</c:v>
                </c:pt>
                <c:pt idx="16">
                  <c:v>-9.0701110670368904E-3</c:v>
                </c:pt>
                <c:pt idx="17">
                  <c:v>-9.5222043912758028E-3</c:v>
                </c:pt>
                <c:pt idx="18">
                  <c:v>-9.9130039312418095E-3</c:v>
                </c:pt>
                <c:pt idx="19">
                  <c:v>-9.9555494462336032E-3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AA_S_pho_den!$A$6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AA_S_pho_den!$B$6:$U$6</c:f>
              <c:numCache>
                <c:formatCode>General</c:formatCode>
                <c:ptCount val="20"/>
                <c:pt idx="0">
                  <c:v>-1.2451220117097438E-2</c:v>
                </c:pt>
                <c:pt idx="1">
                  <c:v>-1.2434854309876456E-2</c:v>
                </c:pt>
                <c:pt idx="2">
                  <c:v>-1.1502680017592182E-2</c:v>
                </c:pt>
                <c:pt idx="3">
                  <c:v>-1.0891349912380536E-2</c:v>
                </c:pt>
                <c:pt idx="4">
                  <c:v>-1.0696509452513919E-2</c:v>
                </c:pt>
                <c:pt idx="5">
                  <c:v>-9.8057503228089725E-3</c:v>
                </c:pt>
                <c:pt idx="6">
                  <c:v>-1.005472101050252E-2</c:v>
                </c:pt>
                <c:pt idx="7">
                  <c:v>-9.7413909530917851E-3</c:v>
                </c:pt>
                <c:pt idx="8">
                  <c:v>-9.5618767073540976E-3</c:v>
                </c:pt>
                <c:pt idx="9">
                  <c:v>-9.1988083404504102E-3</c:v>
                </c:pt>
                <c:pt idx="10">
                  <c:v>-9.8196653146464356E-3</c:v>
                </c:pt>
                <c:pt idx="11">
                  <c:v>-9.8740396566537915E-3</c:v>
                </c:pt>
                <c:pt idx="12">
                  <c:v>-9.5406348116169534E-3</c:v>
                </c:pt>
                <c:pt idx="13">
                  <c:v>-9.3100042899201332E-3</c:v>
                </c:pt>
                <c:pt idx="14">
                  <c:v>-9.3859023073957822E-3</c:v>
                </c:pt>
                <c:pt idx="15">
                  <c:v>-1.0001031751314652E-2</c:v>
                </c:pt>
                <c:pt idx="16">
                  <c:v>-9.8168189185207019E-3</c:v>
                </c:pt>
                <c:pt idx="17">
                  <c:v>-1.0194242424242425E-2</c:v>
                </c:pt>
                <c:pt idx="18">
                  <c:v>-1.0137345653086939E-2</c:v>
                </c:pt>
                <c:pt idx="19">
                  <c:v>-1.0138678815489749E-2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AA_S_pho_den!$A$7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AA_S_pho_den!$B$7:$U$7</c:f>
              <c:numCache>
                <c:formatCode>General</c:formatCode>
                <c:ptCount val="20"/>
                <c:pt idx="0">
                  <c:v>-1.2319549080263959E-2</c:v>
                </c:pt>
                <c:pt idx="1">
                  <c:v>-1.2243436692417306E-2</c:v>
                </c:pt>
                <c:pt idx="2">
                  <c:v>-1.1209833833833832E-2</c:v>
                </c:pt>
                <c:pt idx="3">
                  <c:v>-1.0253791362138436E-2</c:v>
                </c:pt>
                <c:pt idx="4">
                  <c:v>-1.0175477926752965E-2</c:v>
                </c:pt>
                <c:pt idx="5">
                  <c:v>-9.3571591458295744E-3</c:v>
                </c:pt>
                <c:pt idx="6">
                  <c:v>-9.2897132454555602E-3</c:v>
                </c:pt>
                <c:pt idx="7">
                  <c:v>-9.447159068406116E-3</c:v>
                </c:pt>
                <c:pt idx="8">
                  <c:v>-9.1001507671514513E-3</c:v>
                </c:pt>
                <c:pt idx="9">
                  <c:v>-9.0403823176515279E-3</c:v>
                </c:pt>
                <c:pt idx="10">
                  <c:v>-9.7918216732855879E-3</c:v>
                </c:pt>
                <c:pt idx="11">
                  <c:v>-1.0107855409146174E-2</c:v>
                </c:pt>
                <c:pt idx="12">
                  <c:v>-9.654766207887298E-3</c:v>
                </c:pt>
                <c:pt idx="13">
                  <c:v>-9.4290713295254267E-3</c:v>
                </c:pt>
                <c:pt idx="14">
                  <c:v>-9.215998895137769E-3</c:v>
                </c:pt>
                <c:pt idx="15">
                  <c:v>-9.4871048000485479E-3</c:v>
                </c:pt>
                <c:pt idx="16">
                  <c:v>-9.208611092921223E-3</c:v>
                </c:pt>
                <c:pt idx="17">
                  <c:v>-9.3801784748512706E-3</c:v>
                </c:pt>
                <c:pt idx="18">
                  <c:v>-9.7976445861719091E-3</c:v>
                </c:pt>
                <c:pt idx="19">
                  <c:v>-9.7988580750407832E-3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AA_S_pho_den!$A$8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AA_S_pho_den!$B$8:$U$8</c:f>
              <c:numCache>
                <c:formatCode>General</c:formatCode>
                <c:ptCount val="20"/>
                <c:pt idx="0">
                  <c:v>-1.2304643564568327E-2</c:v>
                </c:pt>
                <c:pt idx="1">
                  <c:v>-1.2270419187554019E-2</c:v>
                </c:pt>
                <c:pt idx="2">
                  <c:v>-1.1303463884658856E-2</c:v>
                </c:pt>
                <c:pt idx="3">
                  <c:v>-1.0487571848407236E-2</c:v>
                </c:pt>
                <c:pt idx="4">
                  <c:v>-1.034715731418563E-2</c:v>
                </c:pt>
                <c:pt idx="5">
                  <c:v>-9.4845297202463246E-3</c:v>
                </c:pt>
                <c:pt idx="6">
                  <c:v>-9.6532449420191277E-3</c:v>
                </c:pt>
                <c:pt idx="7">
                  <c:v>-9.4562908633577265E-3</c:v>
                </c:pt>
                <c:pt idx="8">
                  <c:v>-9.152753871588766E-3</c:v>
                </c:pt>
                <c:pt idx="9">
                  <c:v>-8.8247037341379359E-3</c:v>
                </c:pt>
                <c:pt idx="10">
                  <c:v>-9.5287755677821769E-3</c:v>
                </c:pt>
                <c:pt idx="11">
                  <c:v>-9.8860229425841543E-3</c:v>
                </c:pt>
                <c:pt idx="12">
                  <c:v>-9.1794895591647344E-3</c:v>
                </c:pt>
                <c:pt idx="13">
                  <c:v>-9.3035540820264936E-3</c:v>
                </c:pt>
                <c:pt idx="14">
                  <c:v>-9.3943872296601439E-3</c:v>
                </c:pt>
                <c:pt idx="15">
                  <c:v>-9.5216110150325925E-3</c:v>
                </c:pt>
                <c:pt idx="16">
                  <c:v>-9.3856324649018649E-3</c:v>
                </c:pt>
                <c:pt idx="17">
                  <c:v>-9.8461000621504029E-3</c:v>
                </c:pt>
                <c:pt idx="18">
                  <c:v>-1.0065523778125774E-2</c:v>
                </c:pt>
                <c:pt idx="19">
                  <c:v>-9.9779849007363228E-3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AA_S_pho_den!$A$9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AA_S_pho_den!$B$9:$U$9</c:f>
              <c:numCache>
                <c:formatCode>General</c:formatCode>
                <c:ptCount val="20"/>
                <c:pt idx="0">
                  <c:v>-1.2679215317090875E-2</c:v>
                </c:pt>
                <c:pt idx="1">
                  <c:v>-1.2692944219851694E-2</c:v>
                </c:pt>
                <c:pt idx="2">
                  <c:v>-1.1871885440684217E-2</c:v>
                </c:pt>
                <c:pt idx="3">
                  <c:v>-1.1173151909549543E-2</c:v>
                </c:pt>
                <c:pt idx="4">
                  <c:v>-1.1196224734116597E-2</c:v>
                </c:pt>
                <c:pt idx="5">
                  <c:v>-1.056831562502043E-2</c:v>
                </c:pt>
                <c:pt idx="6">
                  <c:v>-1.0765393646682218E-2</c:v>
                </c:pt>
                <c:pt idx="7">
                  <c:v>-1.0415914533960383E-2</c:v>
                </c:pt>
                <c:pt idx="8">
                  <c:v>-1.0224864122244832E-2</c:v>
                </c:pt>
                <c:pt idx="9">
                  <c:v>-9.8568816336537593E-3</c:v>
                </c:pt>
                <c:pt idx="10">
                  <c:v>-1.034600695135518E-2</c:v>
                </c:pt>
                <c:pt idx="11">
                  <c:v>-1.0105271059821688E-2</c:v>
                </c:pt>
                <c:pt idx="12">
                  <c:v>-9.4717282450930661E-3</c:v>
                </c:pt>
                <c:pt idx="13">
                  <c:v>-9.6210982352251846E-3</c:v>
                </c:pt>
                <c:pt idx="14">
                  <c:v>-9.7801033519199464E-3</c:v>
                </c:pt>
                <c:pt idx="15">
                  <c:v>-9.8834060627218234E-3</c:v>
                </c:pt>
                <c:pt idx="16">
                  <c:v>-9.8514815499291565E-3</c:v>
                </c:pt>
                <c:pt idx="17">
                  <c:v>-9.5691056333025507E-3</c:v>
                </c:pt>
                <c:pt idx="18">
                  <c:v>-9.7772388884794E-3</c:v>
                </c:pt>
                <c:pt idx="19">
                  <c:v>-9.7702653465346536E-3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AA_S_pho_den!$A$10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AA_S_pho_den!$B$10:$U$10</c:f>
              <c:numCache>
                <c:formatCode>General</c:formatCode>
                <c:ptCount val="20"/>
                <c:pt idx="0">
                  <c:v>-1.2713402968556055E-2</c:v>
                </c:pt>
                <c:pt idx="1">
                  <c:v>-1.2755671683406042E-2</c:v>
                </c:pt>
                <c:pt idx="2">
                  <c:v>-1.1921125404193525E-2</c:v>
                </c:pt>
                <c:pt idx="3">
                  <c:v>-1.1199190734442078E-2</c:v>
                </c:pt>
                <c:pt idx="4">
                  <c:v>-1.1072023716446347E-2</c:v>
                </c:pt>
                <c:pt idx="5">
                  <c:v>-1.0461027491304974E-2</c:v>
                </c:pt>
                <c:pt idx="6">
                  <c:v>-1.0401544637943445E-2</c:v>
                </c:pt>
                <c:pt idx="7">
                  <c:v>-1.0474530687199153E-2</c:v>
                </c:pt>
                <c:pt idx="8">
                  <c:v>-1.0292249537001801E-2</c:v>
                </c:pt>
                <c:pt idx="9">
                  <c:v>-9.6146051947474265E-3</c:v>
                </c:pt>
                <c:pt idx="10">
                  <c:v>-9.7671324686016518E-3</c:v>
                </c:pt>
                <c:pt idx="11">
                  <c:v>-9.7273457638769548E-3</c:v>
                </c:pt>
                <c:pt idx="12">
                  <c:v>-9.1820156546464499E-3</c:v>
                </c:pt>
                <c:pt idx="13">
                  <c:v>-9.1521119771767936E-3</c:v>
                </c:pt>
                <c:pt idx="14">
                  <c:v>-9.1708130931757535E-3</c:v>
                </c:pt>
                <c:pt idx="15">
                  <c:v>-9.2327807626785482E-3</c:v>
                </c:pt>
                <c:pt idx="16">
                  <c:v>-9.2408063139931725E-3</c:v>
                </c:pt>
                <c:pt idx="17">
                  <c:v>-9.4121711758974741E-3</c:v>
                </c:pt>
                <c:pt idx="18">
                  <c:v>-9.72587380497132E-3</c:v>
                </c:pt>
                <c:pt idx="19">
                  <c:v>-9.7244187963726296E-3</c:v>
                </c:pt>
              </c:numCache>
            </c:numRef>
          </c:yVal>
          <c:smooth val="1"/>
        </c:ser>
        <c:axId val="65088896"/>
        <c:axId val="65107456"/>
      </c:scatterChart>
      <c:valAx>
        <c:axId val="6508889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107456"/>
        <c:crosses val="autoZero"/>
        <c:crossBetween val="midCat"/>
      </c:valAx>
      <c:valAx>
        <c:axId val="65107456"/>
        <c:scaling>
          <c:orientation val="minMax"/>
        </c:scaling>
        <c:axPos val="l"/>
        <c:numFmt formatCode="General" sourceLinked="1"/>
        <c:tickLblPos val="nextTo"/>
        <c:crossAx val="65088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845920006"/>
          <c:y val="7.9861565976819329E-2"/>
          <c:w val="0.15000015409032794"/>
          <c:h val="0.8368085847676115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AA_T_phi_ty!$A$3</c:f>
              <c:strCache>
                <c:ptCount val="1"/>
                <c:pt idx="0">
                  <c:v>1Y4G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AA_T_phi_ty!$B$3:$U$3</c:f>
              <c:numCache>
                <c:formatCode>General</c:formatCode>
                <c:ptCount val="20"/>
                <c:pt idx="0">
                  <c:v>157.01820000000001</c:v>
                </c:pt>
                <c:pt idx="1">
                  <c:v>108.8715</c:v>
                </c:pt>
                <c:pt idx="2">
                  <c:v>65.812330000000003</c:v>
                </c:pt>
                <c:pt idx="3">
                  <c:v>43.626269999999998</c:v>
                </c:pt>
                <c:pt idx="4">
                  <c:v>32.41977</c:v>
                </c:pt>
                <c:pt idx="5">
                  <c:v>25.374269999999999</c:v>
                </c:pt>
                <c:pt idx="6">
                  <c:v>21.030290000000001</c:v>
                </c:pt>
                <c:pt idx="7">
                  <c:v>17.749220000000001</c:v>
                </c:pt>
                <c:pt idx="8">
                  <c:v>15.519920000000001</c:v>
                </c:pt>
                <c:pt idx="9">
                  <c:v>13.5501</c:v>
                </c:pt>
                <c:pt idx="10">
                  <c:v>13.13171</c:v>
                </c:pt>
                <c:pt idx="11">
                  <c:v>11.76146</c:v>
                </c:pt>
                <c:pt idx="12">
                  <c:v>10.60998</c:v>
                </c:pt>
                <c:pt idx="13">
                  <c:v>9.6711869999999998</c:v>
                </c:pt>
                <c:pt idx="14">
                  <c:v>8.9391780000000001</c:v>
                </c:pt>
                <c:pt idx="15">
                  <c:v>8.3248549999999994</c:v>
                </c:pt>
                <c:pt idx="16">
                  <c:v>7.6839979999999999</c:v>
                </c:pt>
                <c:pt idx="17">
                  <c:v>7.2643069999999996</c:v>
                </c:pt>
                <c:pt idx="18">
                  <c:v>6.7552199999999996</c:v>
                </c:pt>
                <c:pt idx="19">
                  <c:v>6.478307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AA_T_phi_ty!$A$4</c:f>
              <c:strCache>
                <c:ptCount val="1"/>
                <c:pt idx="0">
                  <c:v>1Y4F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AA_T_phi_ty!$B$4:$U$4</c:f>
              <c:numCache>
                <c:formatCode>General</c:formatCode>
                <c:ptCount val="20"/>
                <c:pt idx="0">
                  <c:v>156.80529999999999</c:v>
                </c:pt>
                <c:pt idx="1">
                  <c:v>108.33459999999999</c:v>
                </c:pt>
                <c:pt idx="2">
                  <c:v>65.801680000000005</c:v>
                </c:pt>
                <c:pt idx="3">
                  <c:v>43.464379999999998</c:v>
                </c:pt>
                <c:pt idx="4">
                  <c:v>32.391979999999997</c:v>
                </c:pt>
                <c:pt idx="5">
                  <c:v>25.362210000000001</c:v>
                </c:pt>
                <c:pt idx="6">
                  <c:v>20.941569999999999</c:v>
                </c:pt>
                <c:pt idx="7">
                  <c:v>17.68066</c:v>
                </c:pt>
                <c:pt idx="8">
                  <c:v>15.590669999999999</c:v>
                </c:pt>
                <c:pt idx="9">
                  <c:v>13.431520000000001</c:v>
                </c:pt>
                <c:pt idx="10">
                  <c:v>12.88153</c:v>
                </c:pt>
                <c:pt idx="11">
                  <c:v>11.73793</c:v>
                </c:pt>
                <c:pt idx="12">
                  <c:v>10.641299999999999</c:v>
                </c:pt>
                <c:pt idx="13">
                  <c:v>9.7990370000000002</c:v>
                </c:pt>
                <c:pt idx="14">
                  <c:v>9.1953320000000005</c:v>
                </c:pt>
                <c:pt idx="15">
                  <c:v>8.5720089999999995</c:v>
                </c:pt>
                <c:pt idx="16">
                  <c:v>7.8355480000000002</c:v>
                </c:pt>
                <c:pt idx="17">
                  <c:v>7.5104439999999997</c:v>
                </c:pt>
                <c:pt idx="18">
                  <c:v>6.9471910000000001</c:v>
                </c:pt>
                <c:pt idx="19">
                  <c:v>6.5177370000000003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AA_T_phi_ty!$A$5</c:f>
              <c:strCache>
                <c:ptCount val="1"/>
                <c:pt idx="0">
                  <c:v>1A01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AA_T_phi_ty!$B$5:$U$5</c:f>
              <c:numCache>
                <c:formatCode>General</c:formatCode>
                <c:ptCount val="20"/>
                <c:pt idx="0">
                  <c:v>152.84440000000001</c:v>
                </c:pt>
                <c:pt idx="1">
                  <c:v>106.4525</c:v>
                </c:pt>
                <c:pt idx="2">
                  <c:v>65.428340000000006</c:v>
                </c:pt>
                <c:pt idx="3">
                  <c:v>43.419800000000002</c:v>
                </c:pt>
                <c:pt idx="4">
                  <c:v>32.131010000000003</c:v>
                </c:pt>
                <c:pt idx="5">
                  <c:v>25.587710000000001</c:v>
                </c:pt>
                <c:pt idx="6">
                  <c:v>21.223780000000001</c:v>
                </c:pt>
                <c:pt idx="7">
                  <c:v>17.9542</c:v>
                </c:pt>
                <c:pt idx="8">
                  <c:v>15.67746</c:v>
                </c:pt>
                <c:pt idx="9">
                  <c:v>13.41635</c:v>
                </c:pt>
                <c:pt idx="10">
                  <c:v>12.82507</c:v>
                </c:pt>
                <c:pt idx="11">
                  <c:v>11.76887</c:v>
                </c:pt>
                <c:pt idx="12">
                  <c:v>10.581440000000001</c:v>
                </c:pt>
                <c:pt idx="13">
                  <c:v>9.6511340000000008</c:v>
                </c:pt>
                <c:pt idx="14">
                  <c:v>9.0497700000000005</c:v>
                </c:pt>
                <c:pt idx="15">
                  <c:v>8.533334</c:v>
                </c:pt>
                <c:pt idx="16">
                  <c:v>7.7421110000000004</c:v>
                </c:pt>
                <c:pt idx="17">
                  <c:v>7.3147339999999996</c:v>
                </c:pt>
                <c:pt idx="18">
                  <c:v>6.9368280000000002</c:v>
                </c:pt>
                <c:pt idx="19">
                  <c:v>6.5508290000000002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AA_T_phi_ty!$A$6</c:f>
              <c:strCache>
                <c:ptCount val="1"/>
                <c:pt idx="0">
                  <c:v>1Y4P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AA_T_phi_ty!$B$6:$U$6</c:f>
              <c:numCache>
                <c:formatCode>General</c:formatCode>
                <c:ptCount val="20"/>
                <c:pt idx="0">
                  <c:v>158.0994</c:v>
                </c:pt>
                <c:pt idx="1">
                  <c:v>110.0076</c:v>
                </c:pt>
                <c:pt idx="2">
                  <c:v>66.582629999999995</c:v>
                </c:pt>
                <c:pt idx="3">
                  <c:v>43.954149999999998</c:v>
                </c:pt>
                <c:pt idx="4">
                  <c:v>32.629339999999999</c:v>
                </c:pt>
                <c:pt idx="5">
                  <c:v>25.602170000000001</c:v>
                </c:pt>
                <c:pt idx="6">
                  <c:v>21.071999999999999</c:v>
                </c:pt>
                <c:pt idx="7">
                  <c:v>18.082740000000001</c:v>
                </c:pt>
                <c:pt idx="8">
                  <c:v>15.78384</c:v>
                </c:pt>
                <c:pt idx="9">
                  <c:v>13.546620000000001</c:v>
                </c:pt>
                <c:pt idx="10">
                  <c:v>13.02186</c:v>
                </c:pt>
                <c:pt idx="11">
                  <c:v>11.81442</c:v>
                </c:pt>
                <c:pt idx="12">
                  <c:v>10.697329999999999</c:v>
                </c:pt>
                <c:pt idx="13">
                  <c:v>9.6882719999999996</c:v>
                </c:pt>
                <c:pt idx="14">
                  <c:v>9.0199770000000008</c:v>
                </c:pt>
                <c:pt idx="15">
                  <c:v>8.4389570000000003</c:v>
                </c:pt>
                <c:pt idx="16">
                  <c:v>7.5531810000000004</c:v>
                </c:pt>
                <c:pt idx="17">
                  <c:v>7.2177129999999998</c:v>
                </c:pt>
                <c:pt idx="18">
                  <c:v>6.7616699999999996</c:v>
                </c:pt>
                <c:pt idx="19">
                  <c:v>6.4344640000000002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AA_T_phi_ty!$A$7</c:f>
              <c:strCache>
                <c:ptCount val="1"/>
                <c:pt idx="0">
                  <c:v>1A00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AA_T_phi_ty!$B$7:$U$7</c:f>
              <c:numCache>
                <c:formatCode>General</c:formatCode>
                <c:ptCount val="20"/>
                <c:pt idx="0">
                  <c:v>152.89529999999999</c:v>
                </c:pt>
                <c:pt idx="1">
                  <c:v>106.5745</c:v>
                </c:pt>
                <c:pt idx="2">
                  <c:v>64.657970000000006</c:v>
                </c:pt>
                <c:pt idx="3">
                  <c:v>43.633690000000001</c:v>
                </c:pt>
                <c:pt idx="4">
                  <c:v>32.648969999999998</c:v>
                </c:pt>
                <c:pt idx="5">
                  <c:v>25.547049999999999</c:v>
                </c:pt>
                <c:pt idx="6">
                  <c:v>20.8721</c:v>
                </c:pt>
                <c:pt idx="7">
                  <c:v>17.745439999999999</c:v>
                </c:pt>
                <c:pt idx="8">
                  <c:v>15.56338</c:v>
                </c:pt>
                <c:pt idx="9">
                  <c:v>13.398580000000001</c:v>
                </c:pt>
                <c:pt idx="10">
                  <c:v>12.95858</c:v>
                </c:pt>
                <c:pt idx="11">
                  <c:v>11.82727</c:v>
                </c:pt>
                <c:pt idx="12">
                  <c:v>10.66229</c:v>
                </c:pt>
                <c:pt idx="13">
                  <c:v>9.7466369999999998</c:v>
                </c:pt>
                <c:pt idx="14">
                  <c:v>9.1476209999999991</c:v>
                </c:pt>
                <c:pt idx="15">
                  <c:v>8.6306580000000004</c:v>
                </c:pt>
                <c:pt idx="16">
                  <c:v>7.7574240000000003</c:v>
                </c:pt>
                <c:pt idx="17">
                  <c:v>7.4095789999999999</c:v>
                </c:pt>
                <c:pt idx="18">
                  <c:v>6.8900189999999997</c:v>
                </c:pt>
                <c:pt idx="19">
                  <c:v>6.545661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AA_T_phi_ty!$A$8</c:f>
              <c:strCache>
                <c:ptCount val="1"/>
                <c:pt idx="0">
                  <c:v>1Y46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AA_T_phi_ty!$B$8:$U$8</c:f>
              <c:numCache>
                <c:formatCode>General</c:formatCode>
                <c:ptCount val="20"/>
                <c:pt idx="0">
                  <c:v>156.42019999999999</c:v>
                </c:pt>
                <c:pt idx="1">
                  <c:v>108.6229</c:v>
                </c:pt>
                <c:pt idx="2">
                  <c:v>65.782859999999999</c:v>
                </c:pt>
                <c:pt idx="3">
                  <c:v>43.677959999999999</c:v>
                </c:pt>
                <c:pt idx="4">
                  <c:v>32.505719999999997</c:v>
                </c:pt>
                <c:pt idx="5">
                  <c:v>25.597989999999999</c:v>
                </c:pt>
                <c:pt idx="6">
                  <c:v>21.091159999999999</c:v>
                </c:pt>
                <c:pt idx="7">
                  <c:v>17.913029999999999</c:v>
                </c:pt>
                <c:pt idx="8">
                  <c:v>15.709989999999999</c:v>
                </c:pt>
                <c:pt idx="9">
                  <c:v>13.48218</c:v>
                </c:pt>
                <c:pt idx="10">
                  <c:v>12.906129999999999</c:v>
                </c:pt>
                <c:pt idx="11">
                  <c:v>11.65039</c:v>
                </c:pt>
                <c:pt idx="12">
                  <c:v>10.53487</c:v>
                </c:pt>
                <c:pt idx="13">
                  <c:v>9.7432009999999991</c:v>
                </c:pt>
                <c:pt idx="14">
                  <c:v>9.0328029999999995</c:v>
                </c:pt>
                <c:pt idx="15">
                  <c:v>8.4386840000000003</c:v>
                </c:pt>
                <c:pt idx="16">
                  <c:v>7.690448</c:v>
                </c:pt>
                <c:pt idx="17">
                  <c:v>7.2156209999999996</c:v>
                </c:pt>
                <c:pt idx="18">
                  <c:v>6.7066629999999998</c:v>
                </c:pt>
                <c:pt idx="19">
                  <c:v>6.4046719999999997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AA_T_phi_ty!$A$9</c:f>
              <c:strCache>
                <c:ptCount val="1"/>
                <c:pt idx="0">
                  <c:v>1A0U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AA_T_phi_ty!$B$9:$U$9</c:f>
              <c:numCache>
                <c:formatCode>General</c:formatCode>
                <c:ptCount val="20"/>
                <c:pt idx="0">
                  <c:v>151.00899999999999</c:v>
                </c:pt>
                <c:pt idx="1">
                  <c:v>105.4072</c:v>
                </c:pt>
                <c:pt idx="2">
                  <c:v>63.885579999999997</c:v>
                </c:pt>
                <c:pt idx="3">
                  <c:v>43.08867</c:v>
                </c:pt>
                <c:pt idx="4">
                  <c:v>31.902229999999999</c:v>
                </c:pt>
                <c:pt idx="5">
                  <c:v>25.28884</c:v>
                </c:pt>
                <c:pt idx="6">
                  <c:v>20.850090000000002</c:v>
                </c:pt>
                <c:pt idx="7">
                  <c:v>17.565000000000001</c:v>
                </c:pt>
                <c:pt idx="8">
                  <c:v>15.504379999999999</c:v>
                </c:pt>
                <c:pt idx="9">
                  <c:v>13.32236</c:v>
                </c:pt>
                <c:pt idx="10">
                  <c:v>13.044180000000001</c:v>
                </c:pt>
                <c:pt idx="11">
                  <c:v>11.680899999999999</c:v>
                </c:pt>
                <c:pt idx="12">
                  <c:v>10.529</c:v>
                </c:pt>
                <c:pt idx="13">
                  <c:v>9.5490189999999995</c:v>
                </c:pt>
                <c:pt idx="14">
                  <c:v>8.8644569999999998</c:v>
                </c:pt>
                <c:pt idx="15">
                  <c:v>8.4339110000000002</c:v>
                </c:pt>
                <c:pt idx="16">
                  <c:v>7.713387</c:v>
                </c:pt>
                <c:pt idx="17">
                  <c:v>7.2510630000000003</c:v>
                </c:pt>
                <c:pt idx="18">
                  <c:v>6.8033039999999998</c:v>
                </c:pt>
                <c:pt idx="19">
                  <c:v>6.5209289999999998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AA_T_phi_ty!$A$10</c:f>
              <c:strCache>
                <c:ptCount val="1"/>
                <c:pt idx="0">
                  <c:v>1A0Z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AA_T_phi_ty!$B$10:$U$10</c:f>
              <c:numCache>
                <c:formatCode>General</c:formatCode>
                <c:ptCount val="20"/>
                <c:pt idx="0">
                  <c:v>153.03450000000001</c:v>
                </c:pt>
                <c:pt idx="1">
                  <c:v>106.3798</c:v>
                </c:pt>
                <c:pt idx="2">
                  <c:v>64.978449999999995</c:v>
                </c:pt>
                <c:pt idx="3">
                  <c:v>43.315040000000003</c:v>
                </c:pt>
                <c:pt idx="4">
                  <c:v>32.461869999999998</c:v>
                </c:pt>
                <c:pt idx="5">
                  <c:v>25.526340000000001</c:v>
                </c:pt>
                <c:pt idx="6">
                  <c:v>20.948399999999999</c:v>
                </c:pt>
                <c:pt idx="7">
                  <c:v>17.688790000000001</c:v>
                </c:pt>
                <c:pt idx="8">
                  <c:v>15.72189</c:v>
                </c:pt>
                <c:pt idx="9">
                  <c:v>13.55147</c:v>
                </c:pt>
                <c:pt idx="10">
                  <c:v>13.122479999999999</c:v>
                </c:pt>
                <c:pt idx="11">
                  <c:v>11.843830000000001</c:v>
                </c:pt>
                <c:pt idx="12">
                  <c:v>10.73837</c:v>
                </c:pt>
                <c:pt idx="13">
                  <c:v>9.7883619999999993</c:v>
                </c:pt>
                <c:pt idx="14">
                  <c:v>9.0879189999999994</c:v>
                </c:pt>
                <c:pt idx="15">
                  <c:v>8.4434909999999999</c:v>
                </c:pt>
                <c:pt idx="16">
                  <c:v>7.7391059999999996</c:v>
                </c:pt>
                <c:pt idx="17">
                  <c:v>7.3263379999999998</c:v>
                </c:pt>
                <c:pt idx="18">
                  <c:v>6.855721</c:v>
                </c:pt>
                <c:pt idx="19">
                  <c:v>6.4570249999999998</c:v>
                </c:pt>
              </c:numCache>
            </c:numRef>
          </c:yVal>
          <c:smooth val="1"/>
        </c:ser>
        <c:axId val="65009920"/>
        <c:axId val="63857024"/>
      </c:scatterChart>
      <c:valAx>
        <c:axId val="6500992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857024"/>
        <c:crosses val="autoZero"/>
        <c:crossBetween val="midCat"/>
      </c:valAx>
      <c:valAx>
        <c:axId val="63857024"/>
        <c:scaling>
          <c:orientation val="minMax"/>
        </c:scaling>
        <c:axPos val="l"/>
        <c:numFmt formatCode="General" sourceLinked="1"/>
        <c:tickLblPos val="nextTo"/>
        <c:crossAx val="65009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7446204468"/>
          <c:y val="7.9861443651831981E-2"/>
          <c:w val="0.15000030638193587"/>
          <c:h val="0.83680859641761085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152400</xdr:rowOff>
    </xdr:from>
    <xdr:to>
      <xdr:col>8</xdr:col>
      <xdr:colOff>571500</xdr:colOff>
      <xdr:row>28</xdr:row>
      <xdr:rowOff>38100</xdr:rowOff>
    </xdr:to>
    <xdr:graphicFrame macro="">
      <xdr:nvGraphicFramePr>
        <xdr:cNvPr id="20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0</xdr:colOff>
      <xdr:row>27</xdr:row>
      <xdr:rowOff>142875</xdr:rowOff>
    </xdr:to>
    <xdr:graphicFrame macro="">
      <xdr:nvGraphicFramePr>
        <xdr:cNvPr id="297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247650</xdr:colOff>
      <xdr:row>1</xdr:row>
      <xdr:rowOff>171450</xdr:rowOff>
    </xdr:from>
    <xdr:to>
      <xdr:col>28</xdr:col>
      <xdr:colOff>552450</xdr:colOff>
      <xdr:row>2</xdr:row>
      <xdr:rowOff>0</xdr:rowOff>
    </xdr:to>
    <xdr:graphicFrame macro="">
      <xdr:nvGraphicFramePr>
        <xdr:cNvPr id="328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10</xdr:row>
      <xdr:rowOff>190500</xdr:rowOff>
    </xdr:from>
    <xdr:to>
      <xdr:col>8</xdr:col>
      <xdr:colOff>609600</xdr:colOff>
      <xdr:row>26</xdr:row>
      <xdr:rowOff>180975</xdr:rowOff>
    </xdr:to>
    <xdr:graphicFrame macro="">
      <xdr:nvGraphicFramePr>
        <xdr:cNvPr id="328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9525</xdr:rowOff>
    </xdr:from>
    <xdr:to>
      <xdr:col>9</xdr:col>
      <xdr:colOff>9525</xdr:colOff>
      <xdr:row>28</xdr:row>
      <xdr:rowOff>19050</xdr:rowOff>
    </xdr:to>
    <xdr:graphicFrame macro="">
      <xdr:nvGraphicFramePr>
        <xdr:cNvPr id="358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9525</xdr:rowOff>
    </xdr:from>
    <xdr:to>
      <xdr:col>9</xdr:col>
      <xdr:colOff>9525</xdr:colOff>
      <xdr:row>27</xdr:row>
      <xdr:rowOff>180975</xdr:rowOff>
    </xdr:to>
    <xdr:graphicFrame macro="">
      <xdr:nvGraphicFramePr>
        <xdr:cNvPr id="389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0</xdr:rowOff>
    </xdr:from>
    <xdr:to>
      <xdr:col>9</xdr:col>
      <xdr:colOff>9525</xdr:colOff>
      <xdr:row>28</xdr:row>
      <xdr:rowOff>19050</xdr:rowOff>
    </xdr:to>
    <xdr:graphicFrame macro="">
      <xdr:nvGraphicFramePr>
        <xdr:cNvPr id="42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590550</xdr:colOff>
      <xdr:row>31</xdr:row>
      <xdr:rowOff>9525</xdr:rowOff>
    </xdr:to>
    <xdr:graphicFrame macro="">
      <xdr:nvGraphicFramePr>
        <xdr:cNvPr id="45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19050</xdr:colOff>
      <xdr:row>26</xdr:row>
      <xdr:rowOff>190500</xdr:rowOff>
    </xdr:to>
    <xdr:graphicFrame macro="">
      <xdr:nvGraphicFramePr>
        <xdr:cNvPr id="481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590550</xdr:colOff>
      <xdr:row>31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190500</xdr:rowOff>
    </xdr:from>
    <xdr:to>
      <xdr:col>9</xdr:col>
      <xdr:colOff>9525</xdr:colOff>
      <xdr:row>27</xdr:row>
      <xdr:rowOff>9525</xdr:rowOff>
    </xdr:to>
    <xdr:graphicFrame macro="">
      <xdr:nvGraphicFramePr>
        <xdr:cNvPr id="1055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8</xdr:col>
      <xdr:colOff>609600</xdr:colOff>
      <xdr:row>28</xdr:row>
      <xdr:rowOff>9525</xdr:rowOff>
    </xdr:to>
    <xdr:graphicFrame macro="">
      <xdr:nvGraphicFramePr>
        <xdr:cNvPr id="108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9525</xdr:rowOff>
    </xdr:from>
    <xdr:to>
      <xdr:col>9</xdr:col>
      <xdr:colOff>133350</xdr:colOff>
      <xdr:row>27</xdr:row>
      <xdr:rowOff>161925</xdr:rowOff>
    </xdr:to>
    <xdr:graphicFrame macro="">
      <xdr:nvGraphicFramePr>
        <xdr:cNvPr id="51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8</xdr:col>
      <xdr:colOff>590550</xdr:colOff>
      <xdr:row>26</xdr:row>
      <xdr:rowOff>180975</xdr:rowOff>
    </xdr:to>
    <xdr:graphicFrame macro="">
      <xdr:nvGraphicFramePr>
        <xdr:cNvPr id="1116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19050</xdr:colOff>
      <xdr:row>27</xdr:row>
      <xdr:rowOff>9525</xdr:rowOff>
    </xdr:to>
    <xdr:graphicFrame macro="">
      <xdr:nvGraphicFramePr>
        <xdr:cNvPr id="1147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9525</xdr:rowOff>
    </xdr:from>
    <xdr:to>
      <xdr:col>9</xdr:col>
      <xdr:colOff>9525</xdr:colOff>
      <xdr:row>26</xdr:row>
      <xdr:rowOff>38100</xdr:rowOff>
    </xdr:to>
    <xdr:graphicFrame macro="">
      <xdr:nvGraphicFramePr>
        <xdr:cNvPr id="1178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9525</xdr:rowOff>
    </xdr:from>
    <xdr:to>
      <xdr:col>9</xdr:col>
      <xdr:colOff>9525</xdr:colOff>
      <xdr:row>28</xdr:row>
      <xdr:rowOff>9525</xdr:rowOff>
    </xdr:to>
    <xdr:graphicFrame macro="">
      <xdr:nvGraphicFramePr>
        <xdr:cNvPr id="1208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0</xdr:rowOff>
    </xdr:from>
    <xdr:to>
      <xdr:col>8</xdr:col>
      <xdr:colOff>600075</xdr:colOff>
      <xdr:row>28</xdr:row>
      <xdr:rowOff>19050</xdr:rowOff>
    </xdr:to>
    <xdr:graphicFrame macro="">
      <xdr:nvGraphicFramePr>
        <xdr:cNvPr id="123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190500</xdr:rowOff>
    </xdr:from>
    <xdr:to>
      <xdr:col>8</xdr:col>
      <xdr:colOff>600075</xdr:colOff>
      <xdr:row>28</xdr:row>
      <xdr:rowOff>9525</xdr:rowOff>
    </xdr:to>
    <xdr:graphicFrame macro="">
      <xdr:nvGraphicFramePr>
        <xdr:cNvPr id="127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0</xdr:rowOff>
    </xdr:from>
    <xdr:to>
      <xdr:col>8</xdr:col>
      <xdr:colOff>600075</xdr:colOff>
      <xdr:row>28</xdr:row>
      <xdr:rowOff>0</xdr:rowOff>
    </xdr:to>
    <xdr:graphicFrame macro="">
      <xdr:nvGraphicFramePr>
        <xdr:cNvPr id="130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190500</xdr:rowOff>
    </xdr:from>
    <xdr:to>
      <xdr:col>8</xdr:col>
      <xdr:colOff>609600</xdr:colOff>
      <xdr:row>29</xdr:row>
      <xdr:rowOff>9525</xdr:rowOff>
    </xdr:to>
    <xdr:graphicFrame macro="">
      <xdr:nvGraphicFramePr>
        <xdr:cNvPr id="133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362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180975</xdr:rowOff>
    </xdr:from>
    <xdr:to>
      <xdr:col>9</xdr:col>
      <xdr:colOff>600075</xdr:colOff>
      <xdr:row>30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19050</xdr:colOff>
      <xdr:row>26</xdr:row>
      <xdr:rowOff>190500</xdr:rowOff>
    </xdr:to>
    <xdr:graphicFrame macro="">
      <xdr:nvGraphicFramePr>
        <xdr:cNvPr id="8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19</xdr:col>
      <xdr:colOff>590550</xdr:colOff>
      <xdr:row>31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9525</xdr:rowOff>
    </xdr:from>
    <xdr:to>
      <xdr:col>8</xdr:col>
      <xdr:colOff>600075</xdr:colOff>
      <xdr:row>27</xdr:row>
      <xdr:rowOff>0</xdr:rowOff>
    </xdr:to>
    <xdr:graphicFrame macro="">
      <xdr:nvGraphicFramePr>
        <xdr:cNvPr id="1454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9</xdr:col>
      <xdr:colOff>19050</xdr:colOff>
      <xdr:row>27</xdr:row>
      <xdr:rowOff>190500</xdr:rowOff>
    </xdr:to>
    <xdr:graphicFrame macro="">
      <xdr:nvGraphicFramePr>
        <xdr:cNvPr id="1485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1</xdr:row>
      <xdr:rowOff>180975</xdr:rowOff>
    </xdr:from>
    <xdr:to>
      <xdr:col>28</xdr:col>
      <xdr:colOff>476250</xdr:colOff>
      <xdr:row>2</xdr:row>
      <xdr:rowOff>0</xdr:rowOff>
    </xdr:to>
    <xdr:graphicFrame macro="">
      <xdr:nvGraphicFramePr>
        <xdr:cNvPr id="1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</xdr:row>
      <xdr:rowOff>9525</xdr:rowOff>
    </xdr:from>
    <xdr:to>
      <xdr:col>9</xdr:col>
      <xdr:colOff>9525</xdr:colOff>
      <xdr:row>28</xdr:row>
      <xdr:rowOff>9525</xdr:rowOff>
    </xdr:to>
    <xdr:graphicFrame macro="">
      <xdr:nvGraphicFramePr>
        <xdr:cNvPr id="113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9525</xdr:rowOff>
    </xdr:from>
    <xdr:to>
      <xdr:col>8</xdr:col>
      <xdr:colOff>590550</xdr:colOff>
      <xdr:row>27</xdr:row>
      <xdr:rowOff>190500</xdr:rowOff>
    </xdr:to>
    <xdr:graphicFrame macro="">
      <xdr:nvGraphicFramePr>
        <xdr:cNvPr id="143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1</xdr:row>
      <xdr:rowOff>180975</xdr:rowOff>
    </xdr:from>
    <xdr:to>
      <xdr:col>28</xdr:col>
      <xdr:colOff>428625</xdr:colOff>
      <xdr:row>2</xdr:row>
      <xdr:rowOff>0</xdr:rowOff>
    </xdr:to>
    <xdr:graphicFrame macro="">
      <xdr:nvGraphicFramePr>
        <xdr:cNvPr id="17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</xdr:row>
      <xdr:rowOff>9525</xdr:rowOff>
    </xdr:from>
    <xdr:to>
      <xdr:col>8</xdr:col>
      <xdr:colOff>609600</xdr:colOff>
      <xdr:row>27</xdr:row>
      <xdr:rowOff>190500</xdr:rowOff>
    </xdr:to>
    <xdr:graphicFrame macro="">
      <xdr:nvGraphicFramePr>
        <xdr:cNvPr id="174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190500</xdr:rowOff>
    </xdr:from>
    <xdr:to>
      <xdr:col>9</xdr:col>
      <xdr:colOff>19050</xdr:colOff>
      <xdr:row>26</xdr:row>
      <xdr:rowOff>180975</xdr:rowOff>
    </xdr:to>
    <xdr:graphicFrame macro="">
      <xdr:nvGraphicFramePr>
        <xdr:cNvPr id="20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0</xdr:colOff>
      <xdr:row>27</xdr:row>
      <xdr:rowOff>171450</xdr:rowOff>
    </xdr:to>
    <xdr:graphicFrame macro="">
      <xdr:nvGraphicFramePr>
        <xdr:cNvPr id="235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9525</xdr:rowOff>
    </xdr:from>
    <xdr:to>
      <xdr:col>9</xdr:col>
      <xdr:colOff>9525</xdr:colOff>
      <xdr:row>24</xdr:row>
      <xdr:rowOff>190500</xdr:rowOff>
    </xdr:to>
    <xdr:graphicFrame macro="">
      <xdr:nvGraphicFramePr>
        <xdr:cNvPr id="266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tabSelected="1" workbookViewId="0">
      <selection activeCell="A2" sqref="A2"/>
    </sheetView>
  </sheetViews>
  <sheetFormatPr defaultRowHeight="15"/>
  <cols>
    <col min="1" max="1" width="8.7109375" customWidth="1"/>
  </cols>
  <sheetData>
    <row r="1" spans="1:3">
      <c r="A1" s="2" t="s">
        <v>43</v>
      </c>
    </row>
    <row r="2" spans="1:3">
      <c r="A2" s="3" t="s">
        <v>58</v>
      </c>
    </row>
    <row r="3" spans="1:3">
      <c r="A3" t="s">
        <v>44</v>
      </c>
    </row>
    <row r="4" spans="1:3">
      <c r="A4" t="s">
        <v>45</v>
      </c>
    </row>
    <row r="5" spans="1:3">
      <c r="A5" t="s">
        <v>46</v>
      </c>
    </row>
    <row r="7" spans="1:3" s="2" customFormat="1">
      <c r="A7" s="2" t="s">
        <v>47</v>
      </c>
    </row>
    <row r="8" spans="1:3">
      <c r="A8" t="s">
        <v>48</v>
      </c>
    </row>
    <row r="9" spans="1:3">
      <c r="A9" s="2" t="s">
        <v>25</v>
      </c>
    </row>
    <row r="10" spans="1:3">
      <c r="B10" t="s">
        <v>23</v>
      </c>
      <c r="C10" t="s">
        <v>49</v>
      </c>
    </row>
    <row r="11" spans="1:3">
      <c r="B11" t="s">
        <v>24</v>
      </c>
      <c r="C11" t="s">
        <v>50</v>
      </c>
    </row>
    <row r="12" spans="1:3">
      <c r="A12" s="2" t="s">
        <v>26</v>
      </c>
    </row>
    <row r="13" spans="1:3">
      <c r="B13" t="s">
        <v>27</v>
      </c>
      <c r="C13" t="s">
        <v>28</v>
      </c>
    </row>
    <row r="14" spans="1:3">
      <c r="B14" t="s">
        <v>32</v>
      </c>
      <c r="C14" t="s">
        <v>51</v>
      </c>
    </row>
    <row r="15" spans="1:3">
      <c r="B15" t="s">
        <v>33</v>
      </c>
      <c r="C15" t="s">
        <v>52</v>
      </c>
    </row>
    <row r="16" spans="1:3">
      <c r="B16" t="s">
        <v>29</v>
      </c>
      <c r="C16" t="s">
        <v>53</v>
      </c>
    </row>
    <row r="17" spans="1:3">
      <c r="B17" t="s">
        <v>30</v>
      </c>
      <c r="C17" t="s">
        <v>54</v>
      </c>
    </row>
    <row r="18" spans="1:3">
      <c r="B18" t="s">
        <v>31</v>
      </c>
      <c r="C18" t="s">
        <v>55</v>
      </c>
    </row>
    <row r="19" spans="1:3">
      <c r="A19" s="2" t="s">
        <v>34</v>
      </c>
    </row>
    <row r="20" spans="1:3">
      <c r="B20" t="s">
        <v>35</v>
      </c>
      <c r="C20" t="s">
        <v>36</v>
      </c>
    </row>
    <row r="21" spans="1:3">
      <c r="B21" t="s">
        <v>37</v>
      </c>
      <c r="C21" t="s">
        <v>38</v>
      </c>
    </row>
    <row r="23" spans="1:3" s="2" customFormat="1">
      <c r="A23" s="2" t="s">
        <v>56</v>
      </c>
    </row>
    <row r="24" spans="1:3">
      <c r="A24" t="s">
        <v>57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"AA_phi_ind_1.4A"</f>
        <v>AA_phi_ind_1.4A</v>
      </c>
      <c r="C1" s="1" t="str">
        <f>"AA_phi_ind_2A"</f>
        <v>AA_phi_ind_2A</v>
      </c>
      <c r="D1" s="1" t="str">
        <f>"AA_phi_ind_3A"</f>
        <v>AA_phi_ind_3A</v>
      </c>
      <c r="E1" s="1" t="str">
        <f>"AA_phi_ind_4A"</f>
        <v>AA_phi_ind_4A</v>
      </c>
      <c r="F1" s="1" t="str">
        <f>"AA_phi_ind_5A"</f>
        <v>AA_phi_ind_5A</v>
      </c>
      <c r="G1" s="1" t="str">
        <f>"AA_phi_ind_6A"</f>
        <v>AA_phi_ind_6A</v>
      </c>
      <c r="H1" s="1" t="str">
        <f>"AA_phi_ind_7A"</f>
        <v>AA_phi_ind_7A</v>
      </c>
      <c r="I1" s="1" t="str">
        <f>"AA_phi_ind_8A"</f>
        <v>AA_phi_ind_8A</v>
      </c>
      <c r="J1" s="1" t="str">
        <f>"AA_phi_ind_9A"</f>
        <v>AA_phi_ind_9A</v>
      </c>
      <c r="K1" s="1" t="str">
        <f>"AA_phi_ind_10A"</f>
        <v>AA_phi_ind_10A</v>
      </c>
      <c r="L1" s="1" t="str">
        <f>"AA_phi_ind_11A"</f>
        <v>AA_phi_ind_11A</v>
      </c>
      <c r="M1" s="1" t="str">
        <f>"AA_phi_ind_12A"</f>
        <v>AA_phi_ind_12A</v>
      </c>
      <c r="N1" s="1" t="str">
        <f>"AA_phi_ind_13A"</f>
        <v>AA_phi_ind_13A</v>
      </c>
      <c r="O1" s="1" t="str">
        <f>"AA_phi_ind_14A"</f>
        <v>AA_phi_ind_14A</v>
      </c>
      <c r="P1" s="1" t="str">
        <f>"AA_phi_ind_15A"</f>
        <v>AA_phi_ind_15A</v>
      </c>
      <c r="Q1" s="1" t="str">
        <f>"AA_phi_ind_16A"</f>
        <v>AA_phi_ind_16A</v>
      </c>
      <c r="R1" s="1" t="str">
        <f>"AA_phi_ind_17A"</f>
        <v>AA_phi_ind_17A</v>
      </c>
      <c r="S1" s="1" t="str">
        <f>"AA_phi_ind_18A"</f>
        <v>AA_phi_ind_18A</v>
      </c>
      <c r="T1" s="1" t="str">
        <f>"AA_phi_ind_19A"</f>
        <v>AA_phi_ind_19A</v>
      </c>
      <c r="U1" s="1" t="str">
        <f>"AA_phi_ind_20A"</f>
        <v>AA_phi_ind_20A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2.2634806E-2</v>
      </c>
      <c r="C3">
        <v>2.2926541000000002E-2</v>
      </c>
      <c r="D3">
        <v>2.2418324E-2</v>
      </c>
      <c r="E3">
        <v>2.1817131E-2</v>
      </c>
      <c r="F3">
        <v>2.1795385E-2</v>
      </c>
      <c r="G3">
        <v>2.1563698999999999E-2</v>
      </c>
      <c r="H3">
        <v>2.1882469000000002E-2</v>
      </c>
      <c r="I3">
        <v>2.1887481E-2</v>
      </c>
      <c r="J3">
        <v>2.2137521E-2</v>
      </c>
      <c r="K3">
        <v>2.1801437999999999E-2</v>
      </c>
      <c r="L3">
        <v>2.3576929999999999E-2</v>
      </c>
      <c r="M3">
        <v>2.3504707999999999E-2</v>
      </c>
      <c r="N3">
        <v>2.3330573E-2</v>
      </c>
      <c r="O3">
        <v>2.3051133000000001E-2</v>
      </c>
      <c r="P3">
        <v>2.3288514E-2</v>
      </c>
      <c r="Q3">
        <v>2.3225961E-2</v>
      </c>
      <c r="R3">
        <v>2.2593489000000001E-2</v>
      </c>
      <c r="S3">
        <v>2.2697835999999999E-2</v>
      </c>
      <c r="T3">
        <v>2.2489184999999998E-2</v>
      </c>
      <c r="U3">
        <v>2.2434316999999999E-2</v>
      </c>
    </row>
    <row r="4" spans="1:24">
      <c r="A4" t="s">
        <v>1</v>
      </c>
      <c r="B4">
        <v>2.2547718000000001E-2</v>
      </c>
      <c r="C4">
        <v>2.2807473000000002E-2</v>
      </c>
      <c r="D4">
        <v>2.2338189000000001E-2</v>
      </c>
      <c r="E4">
        <v>2.175767E-2</v>
      </c>
      <c r="F4">
        <v>2.180006E-2</v>
      </c>
      <c r="G4">
        <v>2.1522427E-2</v>
      </c>
      <c r="H4">
        <v>2.1870364E-2</v>
      </c>
      <c r="I4">
        <v>2.1803093999999999E-2</v>
      </c>
      <c r="J4">
        <v>2.2112054999999999E-2</v>
      </c>
      <c r="K4">
        <v>2.1599894000000001E-2</v>
      </c>
      <c r="L4">
        <v>2.3266810999999998E-2</v>
      </c>
      <c r="M4">
        <v>2.3491637999999999E-2</v>
      </c>
      <c r="N4">
        <v>2.3357503000000002E-2</v>
      </c>
      <c r="O4">
        <v>2.3184517000000002E-2</v>
      </c>
      <c r="P4">
        <v>2.3309881000000001E-2</v>
      </c>
      <c r="Q4">
        <v>2.3303276000000001E-2</v>
      </c>
      <c r="R4">
        <v>2.2652683999999999E-2</v>
      </c>
      <c r="S4">
        <v>2.2874243999999998E-2</v>
      </c>
      <c r="T4">
        <v>2.2798331000000002E-2</v>
      </c>
      <c r="U4">
        <v>2.2558506999999998E-2</v>
      </c>
    </row>
    <row r="5" spans="1:24">
      <c r="A5" t="s">
        <v>2</v>
      </c>
      <c r="B5">
        <v>2.2373655999999999E-2</v>
      </c>
      <c r="C5">
        <v>2.2703869000000002E-2</v>
      </c>
      <c r="D5">
        <v>2.2272126999999999E-2</v>
      </c>
      <c r="E5">
        <v>2.1663563E-2</v>
      </c>
      <c r="F5">
        <v>2.1520774999999999E-2</v>
      </c>
      <c r="G5">
        <v>2.152741E-2</v>
      </c>
      <c r="H5">
        <v>2.1700185E-2</v>
      </c>
      <c r="I5">
        <v>2.1811863000000001E-2</v>
      </c>
      <c r="J5">
        <v>2.2019871999999999E-2</v>
      </c>
      <c r="K5">
        <v>2.1634666E-2</v>
      </c>
      <c r="L5">
        <v>2.3401801E-2</v>
      </c>
      <c r="M5">
        <v>2.3549575E-2</v>
      </c>
      <c r="N5">
        <v>2.3248192000000001E-2</v>
      </c>
      <c r="O5">
        <v>2.3083208000000001E-2</v>
      </c>
      <c r="P5">
        <v>2.3170573999999999E-2</v>
      </c>
      <c r="Q5">
        <v>2.3257498000000001E-2</v>
      </c>
      <c r="R5">
        <v>2.2699878999999999E-2</v>
      </c>
      <c r="S5">
        <v>2.2762378999999999E-2</v>
      </c>
      <c r="T5">
        <v>2.2853417000000001E-2</v>
      </c>
      <c r="U5">
        <v>2.2744219999999999E-2</v>
      </c>
    </row>
    <row r="6" spans="1:24">
      <c r="A6" t="s">
        <v>3</v>
      </c>
      <c r="B6">
        <v>2.2709093999999999E-2</v>
      </c>
      <c r="C6">
        <v>2.3028984999999998E-2</v>
      </c>
      <c r="D6">
        <v>2.2571569E-2</v>
      </c>
      <c r="E6">
        <v>2.1959389999999999E-2</v>
      </c>
      <c r="F6">
        <v>2.1819808E-2</v>
      </c>
      <c r="G6">
        <v>2.1693533000000001E-2</v>
      </c>
      <c r="H6">
        <v>2.194689E-2</v>
      </c>
      <c r="I6">
        <v>2.2124623999999999E-2</v>
      </c>
      <c r="J6">
        <v>2.2327290999999999E-2</v>
      </c>
      <c r="K6">
        <v>2.1785615000000001E-2</v>
      </c>
      <c r="L6">
        <v>2.3384327E-2</v>
      </c>
      <c r="M6">
        <v>2.3590703000000001E-2</v>
      </c>
      <c r="N6">
        <v>2.3443519999999999E-2</v>
      </c>
      <c r="O6">
        <v>2.3251465999999998E-2</v>
      </c>
      <c r="P6">
        <v>2.3297569000000001E-2</v>
      </c>
      <c r="Q6">
        <v>2.3368389999999999E-2</v>
      </c>
      <c r="R6">
        <v>2.2459377999999999E-2</v>
      </c>
      <c r="S6">
        <v>2.2618118999999999E-2</v>
      </c>
      <c r="T6">
        <v>2.2665768999999999E-2</v>
      </c>
      <c r="U6">
        <v>2.2417311999999998E-2</v>
      </c>
    </row>
    <row r="7" spans="1:24">
      <c r="A7" t="s">
        <v>4</v>
      </c>
      <c r="B7">
        <v>2.2516325E-2</v>
      </c>
      <c r="C7">
        <v>2.2787094000000001E-2</v>
      </c>
      <c r="D7">
        <v>2.2325485999999999E-2</v>
      </c>
      <c r="E7">
        <v>2.1779166999999999E-2</v>
      </c>
      <c r="F7">
        <v>2.1771977000000001E-2</v>
      </c>
      <c r="G7">
        <v>2.1660560999999998E-2</v>
      </c>
      <c r="H7">
        <v>2.1710991999999998E-2</v>
      </c>
      <c r="I7">
        <v>2.1745774999999998E-2</v>
      </c>
      <c r="J7">
        <v>2.1971125000000001E-2</v>
      </c>
      <c r="K7">
        <v>2.1482002E-2</v>
      </c>
      <c r="L7">
        <v>2.3329197999999999E-2</v>
      </c>
      <c r="M7">
        <v>2.3528749000000002E-2</v>
      </c>
      <c r="N7">
        <v>2.3152709E-2</v>
      </c>
      <c r="O7">
        <v>2.2939872E-2</v>
      </c>
      <c r="P7">
        <v>2.3170883E-2</v>
      </c>
      <c r="Q7">
        <v>2.3356535000000001E-2</v>
      </c>
      <c r="R7">
        <v>2.2544956000000001E-2</v>
      </c>
      <c r="S7">
        <v>2.2851092999999999E-2</v>
      </c>
      <c r="T7">
        <v>2.2578933999999998E-2</v>
      </c>
      <c r="U7">
        <v>2.2406908E-2</v>
      </c>
    </row>
    <row r="8" spans="1:24">
      <c r="A8" t="s">
        <v>42</v>
      </c>
      <c r="B8">
        <v>2.2667682000000001E-2</v>
      </c>
      <c r="C8">
        <v>2.2967517E-2</v>
      </c>
      <c r="D8">
        <v>2.2459215000000001E-2</v>
      </c>
      <c r="E8">
        <v>2.2017104999999999E-2</v>
      </c>
      <c r="F8">
        <v>2.1871686000000001E-2</v>
      </c>
      <c r="G8">
        <v>2.186227E-2</v>
      </c>
      <c r="H8">
        <v>2.2076551E-2</v>
      </c>
      <c r="I8">
        <v>2.2170855E-2</v>
      </c>
      <c r="J8">
        <v>2.2365268000000001E-2</v>
      </c>
      <c r="K8">
        <v>2.1864932E-2</v>
      </c>
      <c r="L8">
        <v>2.3520676000000001E-2</v>
      </c>
      <c r="M8">
        <v>2.3501293999999999E-2</v>
      </c>
      <c r="N8">
        <v>2.3215117E-2</v>
      </c>
      <c r="O8">
        <v>2.3166539E-2</v>
      </c>
      <c r="P8">
        <v>2.3213287999999999E-2</v>
      </c>
      <c r="Q8">
        <v>2.3278759999999999E-2</v>
      </c>
      <c r="R8">
        <v>2.2673150999999999E-2</v>
      </c>
      <c r="S8">
        <v>2.2568781E-2</v>
      </c>
      <c r="T8">
        <v>2.2438465000000001E-2</v>
      </c>
      <c r="U8">
        <v>2.2373013000000001E-2</v>
      </c>
    </row>
    <row r="9" spans="1:24">
      <c r="A9" t="s">
        <v>5</v>
      </c>
      <c r="B9">
        <v>2.2497451000000002E-2</v>
      </c>
      <c r="C9">
        <v>2.2802540999999999E-2</v>
      </c>
      <c r="D9">
        <v>2.2307859999999999E-2</v>
      </c>
      <c r="E9">
        <v>2.1822028E-2</v>
      </c>
      <c r="F9">
        <v>2.1675261000000001E-2</v>
      </c>
      <c r="G9">
        <v>2.1737320000000001E-2</v>
      </c>
      <c r="H9">
        <v>2.1844125999999998E-2</v>
      </c>
      <c r="I9">
        <v>2.1843234E-2</v>
      </c>
      <c r="J9">
        <v>2.2117568000000001E-2</v>
      </c>
      <c r="K9">
        <v>2.1648113E-2</v>
      </c>
      <c r="L9">
        <v>2.3551910999999998E-2</v>
      </c>
      <c r="M9">
        <v>2.3561176E-2</v>
      </c>
      <c r="N9">
        <v>2.3372675999999998E-2</v>
      </c>
      <c r="O9">
        <v>2.2962224E-2</v>
      </c>
      <c r="P9">
        <v>2.3038263E-2</v>
      </c>
      <c r="Q9">
        <v>2.30853E-2</v>
      </c>
      <c r="R9">
        <v>2.2707146000000001E-2</v>
      </c>
      <c r="S9">
        <v>2.2777599999999999E-2</v>
      </c>
      <c r="T9">
        <v>2.2620494000000001E-2</v>
      </c>
      <c r="U9">
        <v>2.2549579E-2</v>
      </c>
    </row>
    <row r="10" spans="1:24">
      <c r="A10" t="s">
        <v>6</v>
      </c>
      <c r="B10">
        <v>2.2522871999999999E-2</v>
      </c>
      <c r="C10">
        <v>2.2823479000000001E-2</v>
      </c>
      <c r="D10">
        <v>2.2382017000000001E-2</v>
      </c>
      <c r="E10">
        <v>2.1815047000000001E-2</v>
      </c>
      <c r="F10">
        <v>2.1709348999999999E-2</v>
      </c>
      <c r="G10">
        <v>2.1672588E-2</v>
      </c>
      <c r="H10">
        <v>2.1776145E-2</v>
      </c>
      <c r="I10">
        <v>2.1641657000000002E-2</v>
      </c>
      <c r="J10">
        <v>2.2034914999999999E-2</v>
      </c>
      <c r="K10">
        <v>2.1627277E-2</v>
      </c>
      <c r="L10">
        <v>2.3461176E-2</v>
      </c>
      <c r="M10">
        <v>2.3565078E-2</v>
      </c>
      <c r="N10">
        <v>2.3348540000000001E-2</v>
      </c>
      <c r="O10">
        <v>2.3146291999999999E-2</v>
      </c>
      <c r="P10">
        <v>2.3232834000000001E-2</v>
      </c>
      <c r="Q10">
        <v>2.3288341000000001E-2</v>
      </c>
      <c r="R10">
        <v>2.2707727E-2</v>
      </c>
      <c r="S10">
        <v>2.2776289000000002E-2</v>
      </c>
      <c r="T10">
        <v>2.2527801E-2</v>
      </c>
      <c r="U10">
        <v>2.2389919000000001E-2</v>
      </c>
    </row>
  </sheetData>
  <phoneticPr fontId="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"AA_phi_pat_1.4A"</f>
        <v>AA_phi_pat_1.4A</v>
      </c>
      <c r="C1" s="1" t="str">
        <f>"AA_phi_pat_2A"</f>
        <v>AA_phi_pat_2A</v>
      </c>
      <c r="D1" s="1" t="str">
        <f>"AA_phi_pat_3A"</f>
        <v>AA_phi_pat_3A</v>
      </c>
      <c r="E1" s="1" t="str">
        <f>"AA_phi_pat_4A"</f>
        <v>AA_phi_pat_4A</v>
      </c>
      <c r="F1" s="1" t="str">
        <f>"AA_phi_pat_5A"</f>
        <v>AA_phi_pat_5A</v>
      </c>
      <c r="G1" s="1" t="str">
        <f>"AA_phi_pat_6A"</f>
        <v>AA_phi_pat_6A</v>
      </c>
      <c r="H1" s="1" t="str">
        <f>"AA_phi_pat_7A"</f>
        <v>AA_phi_pat_7A</v>
      </c>
      <c r="I1" s="1" t="str">
        <f>"AA_phi_pat_8A"</f>
        <v>AA_phi_pat_8A</v>
      </c>
      <c r="J1" s="1" t="str">
        <f>"AA_phi_pat_9A"</f>
        <v>AA_phi_pat_9A</v>
      </c>
      <c r="K1" s="1" t="str">
        <f>"AA_phi_pat_10A"</f>
        <v>AA_phi_pat_10A</v>
      </c>
      <c r="L1" s="1" t="str">
        <f>"AA_phi_pat_11A"</f>
        <v>AA_phi_pat_11A</v>
      </c>
      <c r="M1" s="1" t="str">
        <f>"AA_phi_pat_12A"</f>
        <v>AA_phi_pat_12A</v>
      </c>
      <c r="N1" s="1" t="str">
        <f>"AA_phi_pat_13A"</f>
        <v>AA_phi_pat_13A</v>
      </c>
      <c r="O1" s="1" t="str">
        <f>"AA_phi_pat_14A"</f>
        <v>AA_phi_pat_14A</v>
      </c>
      <c r="P1" s="1" t="str">
        <f>"AA_phi_pat_15A"</f>
        <v>AA_phi_pat_15A</v>
      </c>
      <c r="Q1" s="1" t="str">
        <f>"AA_phi_pat_16A"</f>
        <v>AA_phi_pat_16A</v>
      </c>
      <c r="R1" s="1" t="str">
        <f>"AA_phi_pat_17A"</f>
        <v>AA_phi_pat_17A</v>
      </c>
      <c r="S1" s="1" t="str">
        <f>"AA_phi_pat_18A"</f>
        <v>AA_phi_pat_18A</v>
      </c>
      <c r="T1" s="1" t="str">
        <f>"AA_phi_pat_19A"</f>
        <v>AA_phi_pat_19A</v>
      </c>
      <c r="U1" s="1" t="str">
        <f>"AA_phi_pat_20A"</f>
        <v>AA_phi_pat_20A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5.8336387999999998E-3</v>
      </c>
      <c r="C3">
        <v>5.7873437000000002E-3</v>
      </c>
      <c r="D3">
        <v>5.5276611999999998E-3</v>
      </c>
      <c r="E3">
        <v>5.4214327000000001E-3</v>
      </c>
      <c r="F3">
        <v>5.3480313999999998E-3</v>
      </c>
      <c r="G3">
        <v>5.2469539999999999E-3</v>
      </c>
      <c r="H3">
        <v>5.2893078000000003E-3</v>
      </c>
      <c r="I3">
        <v>5.2621452999999999E-3</v>
      </c>
      <c r="J3">
        <v>5.2987108999999998E-3</v>
      </c>
      <c r="K3">
        <v>5.1995777000000002E-3</v>
      </c>
      <c r="L3">
        <v>5.6046550000000001E-3</v>
      </c>
      <c r="M3">
        <v>5.5688713000000001E-3</v>
      </c>
      <c r="N3">
        <v>5.5116773999999997E-3</v>
      </c>
      <c r="O3">
        <v>5.4363053999999999E-3</v>
      </c>
      <c r="P3">
        <v>5.4807956000000003E-3</v>
      </c>
      <c r="Q3">
        <v>5.4625031000000001E-3</v>
      </c>
      <c r="R3">
        <v>5.3213284999999999E-3</v>
      </c>
      <c r="S3">
        <v>5.3453323999999997E-3</v>
      </c>
      <c r="T3">
        <v>5.3485516000000002E-3</v>
      </c>
      <c r="U3">
        <v>5.4076015999999999E-3</v>
      </c>
    </row>
    <row r="4" spans="1:24">
      <c r="A4" t="s">
        <v>1</v>
      </c>
      <c r="B4">
        <v>5.8127687999999997E-3</v>
      </c>
      <c r="C4">
        <v>5.7578873999999999E-3</v>
      </c>
      <c r="D4">
        <v>5.5091827999999999E-3</v>
      </c>
      <c r="E4">
        <v>5.4066903000000001E-3</v>
      </c>
      <c r="F4">
        <v>5.3496257999999996E-3</v>
      </c>
      <c r="G4">
        <v>5.2379621000000001E-3</v>
      </c>
      <c r="H4">
        <v>5.2882750000000003E-3</v>
      </c>
      <c r="I4">
        <v>5.2449302999999997E-3</v>
      </c>
      <c r="J4">
        <v>5.2975443999999997E-3</v>
      </c>
      <c r="K4">
        <v>5.1560546000000004E-3</v>
      </c>
      <c r="L4">
        <v>5.5356807999999997E-3</v>
      </c>
      <c r="M4">
        <v>5.5735656000000001E-3</v>
      </c>
      <c r="N4">
        <v>5.5250763E-3</v>
      </c>
      <c r="O4">
        <v>5.4743225E-3</v>
      </c>
      <c r="P4">
        <v>5.4930294999999997E-3</v>
      </c>
      <c r="Q4">
        <v>5.4808239999999996E-3</v>
      </c>
      <c r="R4">
        <v>5.3375666000000004E-3</v>
      </c>
      <c r="S4">
        <v>5.3993128000000001E-3</v>
      </c>
      <c r="T4">
        <v>5.4317367999999998E-3</v>
      </c>
      <c r="U4">
        <v>5.4269256000000002E-3</v>
      </c>
    </row>
    <row r="5" spans="1:24">
      <c r="A5" t="s">
        <v>2</v>
      </c>
      <c r="B5">
        <v>5.7683665999999998E-3</v>
      </c>
      <c r="C5">
        <v>5.7303375E-3</v>
      </c>
      <c r="D5">
        <v>5.4903369999999996E-3</v>
      </c>
      <c r="E5">
        <v>5.3904163999999996E-3</v>
      </c>
      <c r="F5">
        <v>5.2899262000000004E-3</v>
      </c>
      <c r="G5">
        <v>5.2455328000000001E-3</v>
      </c>
      <c r="H5">
        <v>5.2534113999999996E-3</v>
      </c>
      <c r="I5">
        <v>5.2482300000000004E-3</v>
      </c>
      <c r="J5">
        <v>5.275053E-3</v>
      </c>
      <c r="K5">
        <v>5.1660938000000003E-3</v>
      </c>
      <c r="L5">
        <v>5.5736954999999998E-3</v>
      </c>
      <c r="M5">
        <v>5.5882553999999996E-3</v>
      </c>
      <c r="N5">
        <v>5.5025676000000001E-3</v>
      </c>
      <c r="O5">
        <v>5.4526185E-3</v>
      </c>
      <c r="P5">
        <v>5.4648370000000002E-3</v>
      </c>
      <c r="Q5">
        <v>5.4735946000000002E-3</v>
      </c>
      <c r="R5">
        <v>5.3393868999999997E-3</v>
      </c>
      <c r="S5">
        <v>5.398328E-3</v>
      </c>
      <c r="T5">
        <v>5.4321279999999996E-3</v>
      </c>
      <c r="U5">
        <v>5.4499413999999999E-3</v>
      </c>
    </row>
    <row r="6" spans="1:24">
      <c r="A6" t="s">
        <v>3</v>
      </c>
      <c r="B6">
        <v>5.8540162000000001E-3</v>
      </c>
      <c r="C6">
        <v>5.8137396999999999E-3</v>
      </c>
      <c r="D6">
        <v>5.5657132E-3</v>
      </c>
      <c r="E6">
        <v>5.4581085999999999E-3</v>
      </c>
      <c r="F6">
        <v>5.3552175000000004E-3</v>
      </c>
      <c r="G6">
        <v>5.2787983E-3</v>
      </c>
      <c r="H6">
        <v>5.3051356000000001E-3</v>
      </c>
      <c r="I6">
        <v>5.3200163E-3</v>
      </c>
      <c r="J6">
        <v>5.3450171999999997E-3</v>
      </c>
      <c r="K6">
        <v>5.1962490999999996E-3</v>
      </c>
      <c r="L6">
        <v>5.5601466000000004E-3</v>
      </c>
      <c r="M6">
        <v>5.5939498999999998E-3</v>
      </c>
      <c r="N6">
        <v>5.5426586999999996E-3</v>
      </c>
      <c r="O6">
        <v>5.4859975E-3</v>
      </c>
      <c r="P6">
        <v>5.4866037999999999E-3</v>
      </c>
      <c r="Q6">
        <v>5.4976922000000003E-3</v>
      </c>
      <c r="R6">
        <v>5.2930494000000003E-3</v>
      </c>
      <c r="S6">
        <v>5.3345998999999996E-3</v>
      </c>
      <c r="T6">
        <v>5.3834952000000004E-3</v>
      </c>
      <c r="U6">
        <v>5.3935149000000002E-3</v>
      </c>
    </row>
    <row r="7" spans="1:24">
      <c r="A7" t="s">
        <v>4</v>
      </c>
      <c r="B7">
        <v>5.8062226E-3</v>
      </c>
      <c r="C7">
        <v>5.7530076999999999E-3</v>
      </c>
      <c r="D7">
        <v>5.5051483000000002E-3</v>
      </c>
      <c r="E7">
        <v>5.4216808999999998E-3</v>
      </c>
      <c r="F7">
        <v>5.3531671999999999E-3</v>
      </c>
      <c r="G7">
        <v>5.2783168000000002E-3</v>
      </c>
      <c r="H7">
        <v>5.2548092999999997E-3</v>
      </c>
      <c r="I7">
        <v>5.2330982999999999E-3</v>
      </c>
      <c r="J7">
        <v>5.2614519000000002E-3</v>
      </c>
      <c r="K7">
        <v>5.1237395999999998E-3</v>
      </c>
      <c r="L7">
        <v>5.5473381999999998E-3</v>
      </c>
      <c r="M7">
        <v>5.5789016E-3</v>
      </c>
      <c r="N7">
        <v>5.4734553999999996E-3</v>
      </c>
      <c r="O7">
        <v>5.4117920999999999E-3</v>
      </c>
      <c r="P7">
        <v>5.4547531000000002E-3</v>
      </c>
      <c r="Q7">
        <v>5.4902405999999997E-3</v>
      </c>
      <c r="R7">
        <v>5.3060353000000003E-3</v>
      </c>
      <c r="S7">
        <v>5.4084518999999998E-3</v>
      </c>
      <c r="T7">
        <v>5.3786258E-3</v>
      </c>
      <c r="U7">
        <v>5.4007103000000001E-3</v>
      </c>
    </row>
    <row r="8" spans="1:24">
      <c r="A8" t="s">
        <v>42</v>
      </c>
      <c r="B8">
        <v>5.8450797000000002E-3</v>
      </c>
      <c r="C8">
        <v>5.8000255000000001E-3</v>
      </c>
      <c r="D8">
        <v>5.541476E-3</v>
      </c>
      <c r="E8">
        <v>5.4686316E-3</v>
      </c>
      <c r="F8">
        <v>5.3639802999999996E-3</v>
      </c>
      <c r="G8">
        <v>5.3163011999999999E-3</v>
      </c>
      <c r="H8">
        <v>5.3327838000000001E-3</v>
      </c>
      <c r="I8">
        <v>5.3280871E-3</v>
      </c>
      <c r="J8">
        <v>5.3508147000000004E-3</v>
      </c>
      <c r="K8">
        <v>5.2094995E-3</v>
      </c>
      <c r="L8">
        <v>5.5846515999999997E-3</v>
      </c>
      <c r="M8">
        <v>5.5663613999999998E-3</v>
      </c>
      <c r="N8">
        <v>5.4869107E-3</v>
      </c>
      <c r="O8">
        <v>5.4644988999999998E-3</v>
      </c>
      <c r="P8">
        <v>5.4644905000000004E-3</v>
      </c>
      <c r="Q8">
        <v>5.4796649999999999E-3</v>
      </c>
      <c r="R8">
        <v>5.3443001000000002E-3</v>
      </c>
      <c r="S8">
        <v>5.3173331999999997E-3</v>
      </c>
      <c r="T8">
        <v>5.3653307000000004E-3</v>
      </c>
      <c r="U8">
        <v>5.3866039999999997E-3</v>
      </c>
    </row>
    <row r="9" spans="1:24">
      <c r="A9" t="s">
        <v>5</v>
      </c>
      <c r="B9">
        <v>5.8004544000000002E-3</v>
      </c>
      <c r="C9">
        <v>5.7546087000000003E-3</v>
      </c>
      <c r="D9">
        <v>5.4983716000000004E-3</v>
      </c>
      <c r="E9">
        <v>5.4274685999999997E-3</v>
      </c>
      <c r="F9">
        <v>5.3241373999999998E-3</v>
      </c>
      <c r="G9">
        <v>5.2905525000000002E-3</v>
      </c>
      <c r="H9">
        <v>5.2798408999999999E-3</v>
      </c>
      <c r="I9">
        <v>5.2495505999999997E-3</v>
      </c>
      <c r="J9">
        <v>5.2934028000000003E-3</v>
      </c>
      <c r="K9">
        <v>5.1617045000000002E-3</v>
      </c>
      <c r="L9">
        <v>5.6007621E-3</v>
      </c>
      <c r="M9">
        <v>5.5836052999999998E-3</v>
      </c>
      <c r="N9">
        <v>5.5241346999999998E-3</v>
      </c>
      <c r="O9">
        <v>5.4194205000000001E-3</v>
      </c>
      <c r="P9">
        <v>5.4283263000000003E-3</v>
      </c>
      <c r="Q9">
        <v>5.4342211E-3</v>
      </c>
      <c r="R9">
        <v>5.3453826999999999E-3</v>
      </c>
      <c r="S9">
        <v>5.4112411999999999E-3</v>
      </c>
      <c r="T9">
        <v>5.3908908999999996E-3</v>
      </c>
      <c r="U9">
        <v>5.4341075000000003E-3</v>
      </c>
    </row>
    <row r="10" spans="1:24">
      <c r="A10" t="s">
        <v>6</v>
      </c>
      <c r="B10">
        <v>5.8068787000000004E-3</v>
      </c>
      <c r="C10">
        <v>5.7602208000000002E-3</v>
      </c>
      <c r="D10">
        <v>5.518808E-3</v>
      </c>
      <c r="E10">
        <v>5.4279501000000004E-3</v>
      </c>
      <c r="F10">
        <v>5.3364904999999999E-3</v>
      </c>
      <c r="G10">
        <v>5.2794911999999999E-3</v>
      </c>
      <c r="H10">
        <v>5.2673872999999998E-3</v>
      </c>
      <c r="I10">
        <v>5.2041146000000003E-3</v>
      </c>
      <c r="J10">
        <v>5.2722651000000004E-3</v>
      </c>
      <c r="K10">
        <v>5.1546092000000002E-3</v>
      </c>
      <c r="L10">
        <v>5.5745467999999999E-3</v>
      </c>
      <c r="M10">
        <v>5.5814488000000004E-3</v>
      </c>
      <c r="N10">
        <v>5.5153401999999997E-3</v>
      </c>
      <c r="O10">
        <v>5.4561658999999997E-3</v>
      </c>
      <c r="P10">
        <v>5.4647741E-3</v>
      </c>
      <c r="Q10">
        <v>5.4650428000000001E-3</v>
      </c>
      <c r="R10">
        <v>5.3409976000000003E-3</v>
      </c>
      <c r="S10">
        <v>5.3949467999999997E-3</v>
      </c>
      <c r="T10">
        <v>5.3602195999999996E-3</v>
      </c>
      <c r="U10">
        <v>5.3629777000000003E-3</v>
      </c>
    </row>
  </sheetData>
  <phoneticPr fontId="0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"AA_T_phi_den_1.4A"</f>
        <v>AA_T_phi_den_1.4A</v>
      </c>
      <c r="C1" s="1" t="str">
        <f>"AA_T_phi_den_2A"</f>
        <v>AA_T_phi_den_2A</v>
      </c>
      <c r="D1" s="1" t="str">
        <f>"AA_T_phi_den_3A"</f>
        <v>AA_T_phi_den_3A</v>
      </c>
      <c r="E1" s="1" t="str">
        <f>"AA_T_phi_den_4A"</f>
        <v>AA_T_phi_den_4A</v>
      </c>
      <c r="F1" s="1" t="str">
        <f>"AA_T_phi_den_5A"</f>
        <v>AA_T_phi_den_5A</v>
      </c>
      <c r="G1" s="1" t="str">
        <f>"AA_T_phi_den_6A"</f>
        <v>AA_T_phi_den_6A</v>
      </c>
      <c r="H1" s="1" t="str">
        <f>"AA_T_phi_den_7A"</f>
        <v>AA_T_phi_den_7A</v>
      </c>
      <c r="I1" s="1" t="str">
        <f>"AA_T_phi_den_8A"</f>
        <v>AA_T_phi_den_8A</v>
      </c>
      <c r="J1" s="1" t="str">
        <f>"AA_T_phi_den_9A"</f>
        <v>AA_T_phi_den_9A</v>
      </c>
      <c r="K1" s="1" t="str">
        <f>"AA_T_phi_den_10A"</f>
        <v>AA_T_phi_den_10A</v>
      </c>
      <c r="L1" s="1" t="str">
        <f>"AA_T_phi_den_11A"</f>
        <v>AA_T_phi_den_11A</v>
      </c>
      <c r="M1" s="1" t="str">
        <f>"AA_T_phi_den_12A"</f>
        <v>AA_T_phi_den_12A</v>
      </c>
      <c r="N1" s="1" t="str">
        <f>"AA_T_phi_den_13A"</f>
        <v>AA_T_phi_den_13A</v>
      </c>
      <c r="O1" s="1" t="str">
        <f>"AA_T_phi_den_14A"</f>
        <v>AA_T_phi_den_14A</v>
      </c>
      <c r="P1" s="1" t="str">
        <f>"AA_T_phi_den_15A"</f>
        <v>AA_T_phi_den_15A</v>
      </c>
      <c r="Q1" s="1" t="str">
        <f>"AA_T_phi_den_16A"</f>
        <v>AA_T_phi_den_16A</v>
      </c>
      <c r="R1" s="1" t="str">
        <f>"AA_T_phi_den_17A"</f>
        <v>AA_T_phi_den_17A</v>
      </c>
      <c r="S1" s="1" t="str">
        <f>"AA_T_phi_den_18A"</f>
        <v>AA_T_phi_den_18A</v>
      </c>
      <c r="T1" s="1" t="str">
        <f>"AA_T_phi_den_19A"</f>
        <v>AA_T_phi_den_19A</v>
      </c>
      <c r="U1" s="1" t="str">
        <f>"AA_T_phi_den_20A"</f>
        <v>AA_T_phi_den_20A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1.8290760019961411E-2</v>
      </c>
      <c r="C3">
        <v>1.95647790667835E-2</v>
      </c>
      <c r="D3">
        <v>2.0330588188411328E-2</v>
      </c>
      <c r="E3">
        <v>2.0238282897211999E-2</v>
      </c>
      <c r="F3">
        <v>2.0456539955527851E-2</v>
      </c>
      <c r="G3">
        <v>2.0487822011215132E-2</v>
      </c>
      <c r="H3">
        <v>2.0791396850191303E-2</v>
      </c>
      <c r="I3">
        <v>2.0824171273019349E-2</v>
      </c>
      <c r="J3">
        <v>2.1132477899290153E-2</v>
      </c>
      <c r="K3">
        <v>2.0839642212898368E-2</v>
      </c>
      <c r="L3">
        <v>2.2526394734896454E-2</v>
      </c>
      <c r="M3">
        <v>2.2500286479561236E-2</v>
      </c>
      <c r="N3">
        <v>2.2295719549999662E-2</v>
      </c>
      <c r="O3">
        <v>2.2067608954288009E-2</v>
      </c>
      <c r="P3">
        <v>2.2288051433784564E-2</v>
      </c>
      <c r="Q3">
        <v>2.2234655149849496E-2</v>
      </c>
      <c r="R3">
        <v>2.1752109677766359E-2</v>
      </c>
      <c r="S3">
        <v>2.1849248362277952E-2</v>
      </c>
      <c r="T3">
        <v>2.1629688734741238E-2</v>
      </c>
      <c r="U3">
        <v>2.1596026759402726E-2</v>
      </c>
    </row>
    <row r="4" spans="1:24">
      <c r="A4" t="s">
        <v>1</v>
      </c>
      <c r="B4">
        <v>1.819121827738002E-2</v>
      </c>
      <c r="C4">
        <v>1.9426653822511082E-2</v>
      </c>
      <c r="D4">
        <v>2.0212235339361836E-2</v>
      </c>
      <c r="E4">
        <v>2.0167850507532715E-2</v>
      </c>
      <c r="F4">
        <v>2.0460590977424607E-2</v>
      </c>
      <c r="G4">
        <v>2.0378536906765873E-2</v>
      </c>
      <c r="H4">
        <v>2.0787307391845117E-2</v>
      </c>
      <c r="I4">
        <v>2.0732782699936069E-2</v>
      </c>
      <c r="J4">
        <v>2.1081050383438226E-2</v>
      </c>
      <c r="K4">
        <v>2.0579869894168927E-2</v>
      </c>
      <c r="L4">
        <v>2.2179011574071684E-2</v>
      </c>
      <c r="M4">
        <v>2.2406663320982047E-2</v>
      </c>
      <c r="N4">
        <v>2.2324642891309053E-2</v>
      </c>
      <c r="O4">
        <v>2.2190978933482798E-2</v>
      </c>
      <c r="P4">
        <v>2.2333994220817058E-2</v>
      </c>
      <c r="Q4">
        <v>2.2374856764001888E-2</v>
      </c>
      <c r="R4">
        <v>2.1752764295647004E-2</v>
      </c>
      <c r="S4">
        <v>2.2010155723635606E-2</v>
      </c>
      <c r="T4">
        <v>2.1939943621548115E-2</v>
      </c>
      <c r="U4">
        <v>2.169925181503022E-2</v>
      </c>
    </row>
    <row r="5" spans="1:24">
      <c r="A5" t="s">
        <v>2</v>
      </c>
      <c r="B5">
        <v>1.8159775283408616E-2</v>
      </c>
      <c r="C5">
        <v>1.9480582460311421E-2</v>
      </c>
      <c r="D5">
        <v>2.0214296130422749E-2</v>
      </c>
      <c r="E5">
        <v>2.0065900751434936E-2</v>
      </c>
      <c r="F5">
        <v>2.0187880238678214E-2</v>
      </c>
      <c r="G5">
        <v>2.0362928672439464E-2</v>
      </c>
      <c r="H5">
        <v>2.0628743882703422E-2</v>
      </c>
      <c r="I5">
        <v>2.0798929968718547E-2</v>
      </c>
      <c r="J5">
        <v>2.1081089149131323E-2</v>
      </c>
      <c r="K5">
        <v>2.0700515817598898E-2</v>
      </c>
      <c r="L5">
        <v>2.2369012920585293E-2</v>
      </c>
      <c r="M5">
        <v>2.2498898365757861E-2</v>
      </c>
      <c r="N5">
        <v>2.2195741053323573E-2</v>
      </c>
      <c r="O5">
        <v>2.1999032612184166E-2</v>
      </c>
      <c r="P5">
        <v>2.2149918373640682E-2</v>
      </c>
      <c r="Q5">
        <v>2.2281938392708169E-2</v>
      </c>
      <c r="R5">
        <v>2.1735896084703086E-2</v>
      </c>
      <c r="S5">
        <v>2.1831051659250107E-2</v>
      </c>
      <c r="T5">
        <v>2.1916719456191537E-2</v>
      </c>
      <c r="U5">
        <v>2.1781447016103263E-2</v>
      </c>
    </row>
    <row r="6" spans="1:24">
      <c r="A6" t="s">
        <v>3</v>
      </c>
      <c r="B6">
        <v>1.8394805687402302E-2</v>
      </c>
      <c r="C6">
        <v>1.9680862863918739E-2</v>
      </c>
      <c r="D6">
        <v>2.0481423639575634E-2</v>
      </c>
      <c r="E6">
        <v>2.0393660235189313E-2</v>
      </c>
      <c r="F6">
        <v>2.0541493018395175E-2</v>
      </c>
      <c r="G6">
        <v>2.0589758106932209E-2</v>
      </c>
      <c r="H6">
        <v>2.0861218250793977E-2</v>
      </c>
      <c r="I6">
        <v>2.1110976593132293E-2</v>
      </c>
      <c r="J6">
        <v>2.1343785006515167E-2</v>
      </c>
      <c r="K6">
        <v>2.086507065782342E-2</v>
      </c>
      <c r="L6">
        <v>2.235328631345165E-2</v>
      </c>
      <c r="M6">
        <v>2.2564452224135313E-2</v>
      </c>
      <c r="N6">
        <v>2.244103143745298E-2</v>
      </c>
      <c r="O6">
        <v>2.2218539621529452E-2</v>
      </c>
      <c r="P6">
        <v>2.225380554614605E-2</v>
      </c>
      <c r="Q6">
        <v>2.2435078443419264E-2</v>
      </c>
      <c r="R6">
        <v>2.1588023607065656E-2</v>
      </c>
      <c r="S6">
        <v>2.1741271592655147E-2</v>
      </c>
      <c r="T6">
        <v>2.1795969837444154E-2</v>
      </c>
      <c r="U6">
        <v>2.1591726341080385E-2</v>
      </c>
    </row>
    <row r="7" spans="1:24">
      <c r="A7" t="s">
        <v>4</v>
      </c>
      <c r="B7">
        <v>1.8166403429884376E-2</v>
      </c>
      <c r="C7">
        <v>1.9418398251124295E-2</v>
      </c>
      <c r="D7">
        <v>2.0153254949484372E-2</v>
      </c>
      <c r="E7">
        <v>2.0034928446503737E-2</v>
      </c>
      <c r="F7">
        <v>2.0298682937626052E-2</v>
      </c>
      <c r="G7">
        <v>2.0354317565613404E-2</v>
      </c>
      <c r="H7">
        <v>2.0507456908706295E-2</v>
      </c>
      <c r="I7">
        <v>2.059250639344045E-2</v>
      </c>
      <c r="J7">
        <v>2.0879809664715712E-2</v>
      </c>
      <c r="K7">
        <v>2.043898438601191E-2</v>
      </c>
      <c r="L7">
        <v>2.2239032990312432E-2</v>
      </c>
      <c r="M7">
        <v>2.2434515169839839E-2</v>
      </c>
      <c r="N7">
        <v>2.2116377269164256E-2</v>
      </c>
      <c r="O7">
        <v>2.1937131919839495E-2</v>
      </c>
      <c r="P7">
        <v>2.2162796213755311E-2</v>
      </c>
      <c r="Q7">
        <v>2.235938560160167E-2</v>
      </c>
      <c r="R7">
        <v>2.1586896632327653E-2</v>
      </c>
      <c r="S7">
        <v>2.1854154604660656E-2</v>
      </c>
      <c r="T7">
        <v>2.1602164474476281E-2</v>
      </c>
      <c r="U7">
        <v>2.1461190643013325E-2</v>
      </c>
    </row>
    <row r="8" spans="1:24">
      <c r="A8" t="s">
        <v>42</v>
      </c>
      <c r="B8">
        <v>1.8225259114219985E-2</v>
      </c>
      <c r="C8">
        <v>1.9463553489118834E-2</v>
      </c>
      <c r="D8">
        <v>2.0203121919219282E-2</v>
      </c>
      <c r="E8">
        <v>2.0284422433538479E-2</v>
      </c>
      <c r="F8">
        <v>2.0393340267940156E-2</v>
      </c>
      <c r="G8">
        <v>2.0548454008788363E-2</v>
      </c>
      <c r="H8">
        <v>2.0855802271367616E-2</v>
      </c>
      <c r="I8">
        <v>2.0984627582350729E-2</v>
      </c>
      <c r="J8">
        <v>2.1244099045434815E-2</v>
      </c>
      <c r="K8">
        <v>2.0810981481993153E-2</v>
      </c>
      <c r="L8">
        <v>2.2478152121530579E-2</v>
      </c>
      <c r="M8">
        <v>2.2448993355320409E-2</v>
      </c>
      <c r="N8">
        <v>2.2263584652540087E-2</v>
      </c>
      <c r="O8">
        <v>2.2231128231010949E-2</v>
      </c>
      <c r="P8">
        <v>2.2322044964345235E-2</v>
      </c>
      <c r="Q8">
        <v>2.2351755482397765E-2</v>
      </c>
      <c r="R8">
        <v>2.1754867757062351E-2</v>
      </c>
      <c r="S8">
        <v>2.1695308624157743E-2</v>
      </c>
      <c r="T8">
        <v>2.1563134093937938E-2</v>
      </c>
      <c r="U8">
        <v>2.1564784536399043E-2</v>
      </c>
    </row>
    <row r="9" spans="1:24">
      <c r="A9" t="s">
        <v>5</v>
      </c>
      <c r="B9">
        <v>1.8015749121188061E-2</v>
      </c>
      <c r="C9">
        <v>1.9337853997066865E-2</v>
      </c>
      <c r="D9">
        <v>2.0084777521098492E-2</v>
      </c>
      <c r="E9">
        <v>2.0041391005700508E-2</v>
      </c>
      <c r="F9">
        <v>2.019661518261465E-2</v>
      </c>
      <c r="G9">
        <v>2.0421696281772577E-2</v>
      </c>
      <c r="H9">
        <v>2.0611267246415783E-2</v>
      </c>
      <c r="I9">
        <v>2.0681596664004886E-2</v>
      </c>
      <c r="J9">
        <v>2.0905477305762078E-2</v>
      </c>
      <c r="K9">
        <v>2.0568446983720765E-2</v>
      </c>
      <c r="L9">
        <v>2.2393980284504695E-2</v>
      </c>
      <c r="M9">
        <v>2.2451184448986018E-2</v>
      </c>
      <c r="N9">
        <v>2.2281848345875911E-2</v>
      </c>
      <c r="O9">
        <v>2.1914442734202823E-2</v>
      </c>
      <c r="P9">
        <v>2.199943564826741E-2</v>
      </c>
      <c r="Q9">
        <v>2.2048051351535761E-2</v>
      </c>
      <c r="R9">
        <v>2.1671510880586779E-2</v>
      </c>
      <c r="S9">
        <v>2.1813041805409866E-2</v>
      </c>
      <c r="T9">
        <v>2.1644122640942183E-2</v>
      </c>
      <c r="U9">
        <v>2.1606295283507434E-2</v>
      </c>
    </row>
    <row r="10" spans="1:24">
      <c r="A10" t="s">
        <v>6</v>
      </c>
      <c r="B10">
        <v>1.8169100520029648E-2</v>
      </c>
      <c r="C10">
        <v>1.9404953763114283E-2</v>
      </c>
      <c r="D10">
        <v>2.0189712633071028E-2</v>
      </c>
      <c r="E10">
        <v>2.0069491389563689E-2</v>
      </c>
      <c r="F10">
        <v>2.0245975050113073E-2</v>
      </c>
      <c r="G10">
        <v>2.0369171351396643E-2</v>
      </c>
      <c r="H10">
        <v>2.0574519825726889E-2</v>
      </c>
      <c r="I10">
        <v>2.050140906122274E-2</v>
      </c>
      <c r="J10">
        <v>2.0881369430029724E-2</v>
      </c>
      <c r="K10">
        <v>2.0607002762103289E-2</v>
      </c>
      <c r="L10">
        <v>2.2383978829303756E-2</v>
      </c>
      <c r="M10">
        <v>2.2522062201641147E-2</v>
      </c>
      <c r="N10">
        <v>2.2337688110219318E-2</v>
      </c>
      <c r="O10">
        <v>2.2192349862561245E-2</v>
      </c>
      <c r="P10">
        <v>2.2305560928005997E-2</v>
      </c>
      <c r="Q10">
        <v>2.2347606155543313E-2</v>
      </c>
      <c r="R10">
        <v>2.1807805391038829E-2</v>
      </c>
      <c r="S10">
        <v>2.1869143423440634E-2</v>
      </c>
      <c r="T10">
        <v>2.1599788404197132E-2</v>
      </c>
      <c r="U10">
        <v>2.1486181114794726E-2</v>
      </c>
    </row>
  </sheetData>
  <phoneticPr fontId="0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"AA_S_phi_den_1.4A"</f>
        <v>AA_S_phi_den_1.4A</v>
      </c>
      <c r="C1" s="1" t="str">
        <f>"AA_S_phi_den_2A"</f>
        <v>AA_S_phi_den_2A</v>
      </c>
      <c r="D1" s="1" t="str">
        <f>"AA_S_phi_den_3A"</f>
        <v>AA_S_phi_den_3A</v>
      </c>
      <c r="E1" s="1" t="str">
        <f>"AA_S_phi_den_4A"</f>
        <v>AA_S_phi_den_4A</v>
      </c>
      <c r="F1" s="1" t="str">
        <f>"AA_S_phi_den_5A"</f>
        <v>AA_S_phi_den_5A</v>
      </c>
      <c r="G1" s="1" t="str">
        <f>"AA_S_phi_den_6A"</f>
        <v>AA_S_phi_den_6A</v>
      </c>
      <c r="H1" s="1" t="str">
        <f>"AA_S_phi_den_7A"</f>
        <v>AA_S_phi_den_7A</v>
      </c>
      <c r="I1" s="1" t="str">
        <f>"AA_S_phi_den_8A"</f>
        <v>AA_S_phi_den_8A</v>
      </c>
      <c r="J1" s="1" t="str">
        <f>"AA_S_phi_den_9A"</f>
        <v>AA_S_phi_den_9A</v>
      </c>
      <c r="K1" s="1" t="str">
        <f>"AA_S_phi_den_10A"</f>
        <v>AA_S_phi_den_10A</v>
      </c>
      <c r="L1" s="1" t="str">
        <f>"AA_S_phi_den_11A"</f>
        <v>AA_S_phi_den_11A</v>
      </c>
      <c r="M1" s="1" t="str">
        <f>"AA_S_phi_den_12A"</f>
        <v>AA_S_phi_den_12A</v>
      </c>
      <c r="N1" s="1" t="str">
        <f>"AA_S_phi_den_13A"</f>
        <v>AA_S_phi_den_13A</v>
      </c>
      <c r="O1" s="1" t="str">
        <f>"AA_S_phi_den_14A"</f>
        <v>AA_S_phi_den_14A</v>
      </c>
      <c r="P1" s="1" t="str">
        <f>"AA_S_phi_den_15A"</f>
        <v>AA_S_phi_den_15A</v>
      </c>
      <c r="Q1" s="1" t="str">
        <f>"AA_S_phi_den_16A"</f>
        <v>AA_S_phi_den_16A</v>
      </c>
      <c r="R1" s="1" t="str">
        <f>"AA_S_phi_den_17A"</f>
        <v>AA_S_phi_den_17A</v>
      </c>
      <c r="S1" s="1" t="str">
        <f>"AA_S_phi_den_18A"</f>
        <v>AA_S_phi_den_18A</v>
      </c>
      <c r="T1" s="1" t="str">
        <f>"AA_S_phi_den_19A"</f>
        <v>AA_S_phi_den_19A</v>
      </c>
      <c r="U1" s="1" t="str">
        <f>"AA_S_phi_den_20A"</f>
        <v>AA_S_phi_den_20A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2.2634803824405997E-2</v>
      </c>
      <c r="C3">
        <v>2.2926537327708506E-2</v>
      </c>
      <c r="D3">
        <v>2.2418323852749427E-2</v>
      </c>
      <c r="E3">
        <v>2.1817127534338784E-2</v>
      </c>
      <c r="F3">
        <v>2.1795389455850914E-2</v>
      </c>
      <c r="G3">
        <v>2.1563704627810373E-2</v>
      </c>
      <c r="H3">
        <v>2.1882469969247385E-2</v>
      </c>
      <c r="I3">
        <v>2.1887484506987718E-2</v>
      </c>
      <c r="J3">
        <v>2.2137516622835966E-2</v>
      </c>
      <c r="K3">
        <v>2.1801438787803901E-2</v>
      </c>
      <c r="L3">
        <v>2.3576936535668624E-2</v>
      </c>
      <c r="M3">
        <v>2.3504713249117234E-2</v>
      </c>
      <c r="N3">
        <v>2.3330574412578568E-2</v>
      </c>
      <c r="O3">
        <v>2.3051135778598967E-2</v>
      </c>
      <c r="P3">
        <v>2.3288515752065482E-2</v>
      </c>
      <c r="Q3">
        <v>2.3225959179072893E-2</v>
      </c>
      <c r="R3">
        <v>2.2593488521981467E-2</v>
      </c>
      <c r="S3">
        <v>2.2697838422216947E-2</v>
      </c>
      <c r="T3">
        <v>2.2489183571012903E-2</v>
      </c>
      <c r="U3">
        <v>2.2434320043412059E-2</v>
      </c>
    </row>
    <row r="4" spans="1:24">
      <c r="A4" t="s">
        <v>1</v>
      </c>
      <c r="B4">
        <v>2.2547723202692289E-2</v>
      </c>
      <c r="C4">
        <v>2.2807461868650344E-2</v>
      </c>
      <c r="D4">
        <v>2.2338192275324433E-2</v>
      </c>
      <c r="E4">
        <v>2.1757668229496742E-2</v>
      </c>
      <c r="F4">
        <v>2.1800053436815004E-2</v>
      </c>
      <c r="G4">
        <v>2.1522417089482514E-2</v>
      </c>
      <c r="H4">
        <v>2.1870365036440565E-2</v>
      </c>
      <c r="I4">
        <v>2.1803092865376846E-2</v>
      </c>
      <c r="J4">
        <v>2.2112051230811103E-2</v>
      </c>
      <c r="K4">
        <v>2.1599889873933957E-2</v>
      </c>
      <c r="L4">
        <v>2.3266814643853204E-2</v>
      </c>
      <c r="M4">
        <v>2.349163698339805E-2</v>
      </c>
      <c r="N4">
        <v>2.3357508181262848E-2</v>
      </c>
      <c r="O4">
        <v>2.318451983098244E-2</v>
      </c>
      <c r="P4">
        <v>2.3309884022621054E-2</v>
      </c>
      <c r="Q4">
        <v>2.330327362804567E-2</v>
      </c>
      <c r="R4">
        <v>2.2652685333563845E-2</v>
      </c>
      <c r="S4">
        <v>2.2874242049995691E-2</v>
      </c>
      <c r="T4">
        <v>2.2798328452955909E-2</v>
      </c>
      <c r="U4">
        <v>2.2558507215863999E-2</v>
      </c>
    </row>
    <row r="5" spans="1:24">
      <c r="A5" t="s">
        <v>2</v>
      </c>
      <c r="B5">
        <v>2.2373655939555981E-2</v>
      </c>
      <c r="C5">
        <v>2.2703875265343312E-2</v>
      </c>
      <c r="D5">
        <v>2.2272127850635776E-2</v>
      </c>
      <c r="E5">
        <v>2.1663561641648513E-2</v>
      </c>
      <c r="F5">
        <v>2.1520773625054675E-2</v>
      </c>
      <c r="G5">
        <v>2.1527404676551034E-2</v>
      </c>
      <c r="H5">
        <v>2.1700183662099363E-2</v>
      </c>
      <c r="I5">
        <v>2.1811868955304025E-2</v>
      </c>
      <c r="J5">
        <v>2.2019875595637221E-2</v>
      </c>
      <c r="K5">
        <v>2.1634675080361949E-2</v>
      </c>
      <c r="L5">
        <v>2.3401793927025849E-2</v>
      </c>
      <c r="M5">
        <v>2.3549585441477065E-2</v>
      </c>
      <c r="N5">
        <v>2.3248196752286603E-2</v>
      </c>
      <c r="O5">
        <v>2.308320457687359E-2</v>
      </c>
      <c r="P5">
        <v>2.3170572778314455E-2</v>
      </c>
      <c r="Q5">
        <v>2.3257497544335513E-2</v>
      </c>
      <c r="R5">
        <v>2.269987744235686E-2</v>
      </c>
      <c r="S5">
        <v>2.2762379808552554E-2</v>
      </c>
      <c r="T5">
        <v>2.2853417242189304E-2</v>
      </c>
      <c r="U5">
        <v>2.274422031395551E-2</v>
      </c>
    </row>
    <row r="6" spans="1:24">
      <c r="A6" t="s">
        <v>3</v>
      </c>
      <c r="B6">
        <v>2.2709091413129927E-2</v>
      </c>
      <c r="C6">
        <v>2.3028990658830652E-2</v>
      </c>
      <c r="D6">
        <v>2.2571569014643141E-2</v>
      </c>
      <c r="E6">
        <v>2.1959397684863685E-2</v>
      </c>
      <c r="F6">
        <v>2.181980740938879E-2</v>
      </c>
      <c r="G6">
        <v>2.1693536975448558E-2</v>
      </c>
      <c r="H6">
        <v>2.1946890857128573E-2</v>
      </c>
      <c r="I6">
        <v>2.2124628676392772E-2</v>
      </c>
      <c r="J6">
        <v>2.2327296245088977E-2</v>
      </c>
      <c r="K6">
        <v>2.1785614979634618E-2</v>
      </c>
      <c r="L6">
        <v>2.3384319551544915E-2</v>
      </c>
      <c r="M6">
        <v>2.3590698558570503E-2</v>
      </c>
      <c r="N6">
        <v>2.3443515406343554E-2</v>
      </c>
      <c r="O6">
        <v>2.3251465895607493E-2</v>
      </c>
      <c r="P6">
        <v>2.3297573275187406E-2</v>
      </c>
      <c r="Q6">
        <v>2.3368391175403666E-2</v>
      </c>
      <c r="R6">
        <v>2.2459378282929054E-2</v>
      </c>
      <c r="S6">
        <v>2.2618118403569903E-2</v>
      </c>
      <c r="T6">
        <v>2.2665767857956935E-2</v>
      </c>
      <c r="U6">
        <v>2.2417313809309797E-2</v>
      </c>
    </row>
    <row r="7" spans="1:24">
      <c r="A7" t="s">
        <v>4</v>
      </c>
      <c r="B7">
        <v>2.2516331100677453E-2</v>
      </c>
      <c r="C7">
        <v>2.2787101723638785E-2</v>
      </c>
      <c r="D7">
        <v>2.2325490737703506E-2</v>
      </c>
      <c r="E7">
        <v>2.1779167041019037E-2</v>
      </c>
      <c r="F7">
        <v>2.177197455032619E-2</v>
      </c>
      <c r="G7">
        <v>2.1660560594254669E-2</v>
      </c>
      <c r="H7">
        <v>2.171098872213573E-2</v>
      </c>
      <c r="I7">
        <v>2.1745780785906974E-2</v>
      </c>
      <c r="J7">
        <v>2.1971130613862324E-2</v>
      </c>
      <c r="K7">
        <v>2.148200154590605E-2</v>
      </c>
      <c r="L7">
        <v>2.3329196267927736E-2</v>
      </c>
      <c r="M7">
        <v>2.3528745912851531E-2</v>
      </c>
      <c r="N7">
        <v>2.3152703583316524E-2</v>
      </c>
      <c r="O7">
        <v>2.293987021203283E-2</v>
      </c>
      <c r="P7">
        <v>2.3170882204313945E-2</v>
      </c>
      <c r="Q7">
        <v>2.335653563738049E-2</v>
      </c>
      <c r="R7">
        <v>2.2544955939909368E-2</v>
      </c>
      <c r="S7">
        <v>2.285109338363121E-2</v>
      </c>
      <c r="T7">
        <v>2.2578929361899584E-2</v>
      </c>
      <c r="U7">
        <v>2.2406909462976538E-2</v>
      </c>
    </row>
    <row r="8" spans="1:24">
      <c r="A8" t="s">
        <v>42</v>
      </c>
      <c r="B8">
        <v>2.2667682233179751E-2</v>
      </c>
      <c r="C8">
        <v>2.2967522607985392E-2</v>
      </c>
      <c r="D8">
        <v>2.2459214637663739E-2</v>
      </c>
      <c r="E8">
        <v>2.2017109423793198E-2</v>
      </c>
      <c r="F8">
        <v>2.1871684920142024E-2</v>
      </c>
      <c r="G8">
        <v>2.1862273940429167E-2</v>
      </c>
      <c r="H8">
        <v>2.2076551281772158E-2</v>
      </c>
      <c r="I8">
        <v>2.2170856530304515E-2</v>
      </c>
      <c r="J8">
        <v>2.2365264145896215E-2</v>
      </c>
      <c r="K8">
        <v>2.1864925799392226E-2</v>
      </c>
      <c r="L8">
        <v>2.3520677977715902E-2</v>
      </c>
      <c r="M8">
        <v>2.3501283550741506E-2</v>
      </c>
      <c r="N8">
        <v>2.3215118770982836E-2</v>
      </c>
      <c r="O8">
        <v>2.316654148004587E-2</v>
      </c>
      <c r="P8">
        <v>2.3213287037667611E-2</v>
      </c>
      <c r="Q8">
        <v>2.3278755815769017E-2</v>
      </c>
      <c r="R8">
        <v>2.2673153542849763E-2</v>
      </c>
      <c r="S8">
        <v>2.2568781944276323E-2</v>
      </c>
      <c r="T8">
        <v>2.2438460925941664E-2</v>
      </c>
      <c r="U8">
        <v>2.2373008770109663E-2</v>
      </c>
    </row>
    <row r="9" spans="1:24">
      <c r="A9" t="s">
        <v>5</v>
      </c>
      <c r="B9">
        <v>2.2497446096128686E-2</v>
      </c>
      <c r="C9">
        <v>2.2802549038356289E-2</v>
      </c>
      <c r="D9">
        <v>2.2307858573266778E-2</v>
      </c>
      <c r="E9">
        <v>2.1822031258783653E-2</v>
      </c>
      <c r="F9">
        <v>2.1675258029646146E-2</v>
      </c>
      <c r="G9">
        <v>2.1737311154356603E-2</v>
      </c>
      <c r="H9">
        <v>2.1844124354029604E-2</v>
      </c>
      <c r="I9">
        <v>2.1843238544579979E-2</v>
      </c>
      <c r="J9">
        <v>2.2117574624300033E-2</v>
      </c>
      <c r="K9">
        <v>2.1648114388392297E-2</v>
      </c>
      <c r="L9">
        <v>2.3551921665121718E-2</v>
      </c>
      <c r="M9">
        <v>2.3561169907523483E-2</v>
      </c>
      <c r="N9">
        <v>2.3372675524264717E-2</v>
      </c>
      <c r="O9">
        <v>2.2962221701745163E-2</v>
      </c>
      <c r="P9">
        <v>2.3038260929680011E-2</v>
      </c>
      <c r="Q9">
        <v>2.3085297433683812E-2</v>
      </c>
      <c r="R9">
        <v>2.2707149287379252E-2</v>
      </c>
      <c r="S9">
        <v>2.2777595409212547E-2</v>
      </c>
      <c r="T9">
        <v>2.2620495387659995E-2</v>
      </c>
      <c r="U9">
        <v>2.2549575198171117E-2</v>
      </c>
    </row>
    <row r="10" spans="1:24">
      <c r="A10" t="s">
        <v>6</v>
      </c>
      <c r="B10">
        <v>2.2522876538440314E-2</v>
      </c>
      <c r="C10">
        <v>2.2823488370147128E-2</v>
      </c>
      <c r="D10">
        <v>2.2382019693064852E-2</v>
      </c>
      <c r="E10">
        <v>2.1815046450418474E-2</v>
      </c>
      <c r="F10">
        <v>2.1709341634928221E-2</v>
      </c>
      <c r="G10">
        <v>2.1672585809170697E-2</v>
      </c>
      <c r="H10">
        <v>2.1776148420931937E-2</v>
      </c>
      <c r="I10">
        <v>2.1641663676307637E-2</v>
      </c>
      <c r="J10">
        <v>2.2034909079085164E-2</v>
      </c>
      <c r="K10">
        <v>2.1627280293460734E-2</v>
      </c>
      <c r="L10">
        <v>2.3461170162173296E-2</v>
      </c>
      <c r="M10">
        <v>2.3565069793918082E-2</v>
      </c>
      <c r="N10">
        <v>2.3348546256272883E-2</v>
      </c>
      <c r="O10">
        <v>2.314629463708269E-2</v>
      </c>
      <c r="P10">
        <v>2.3232830675176924E-2</v>
      </c>
      <c r="Q10">
        <v>2.3288341612354269E-2</v>
      </c>
      <c r="R10">
        <v>2.2707724863253776E-2</v>
      </c>
      <c r="S10">
        <v>2.2776291242040246E-2</v>
      </c>
      <c r="T10">
        <v>2.25278002593957E-2</v>
      </c>
      <c r="U10">
        <v>2.2389921557558555E-2</v>
      </c>
    </row>
  </sheetData>
  <phoneticPr fontId="0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"AA_T_amphi_ty_1.4A"</f>
        <v>AA_T_amphi_ty_1.4A</v>
      </c>
      <c r="C1" s="1" t="str">
        <f>"AA_T_amphi_ty_2A"</f>
        <v>AA_T_amphi_ty_2A</v>
      </c>
      <c r="D1" s="1" t="str">
        <f>"AA_T_amphi_ty_3A"</f>
        <v>AA_T_amphi_ty_3A</v>
      </c>
      <c r="E1" s="1" t="str">
        <f>"AA_T_amphi_ty_4A"</f>
        <v>AA_T_amphi_ty_4A</v>
      </c>
      <c r="F1" s="1" t="str">
        <f>"AA_T_amphi_ty_5A"</f>
        <v>AA_T_amphi_ty_5A</v>
      </c>
      <c r="G1" s="1" t="str">
        <f>"AA_T_amphi_ty_6A"</f>
        <v>AA_T_amphi_ty_6A</v>
      </c>
      <c r="H1" s="1" t="str">
        <f>"AA_T_amphi_ty_7A"</f>
        <v>AA_T_amphi_ty_7A</v>
      </c>
      <c r="I1" s="1" t="str">
        <f>"AA_T_amphi_ty_8A"</f>
        <v>AA_T_amphi_ty_8A</v>
      </c>
      <c r="J1" s="1" t="str">
        <f>"AA_T_amphi_ty_9A"</f>
        <v>AA_T_amphi_ty_9A</v>
      </c>
      <c r="K1" s="1" t="str">
        <f>"AA_T_amphi_ty_10A"</f>
        <v>AA_T_amphi_ty_10A</v>
      </c>
      <c r="L1" s="1" t="str">
        <f>"AA_T_amphi_ty_11A"</f>
        <v>AA_T_amphi_ty_11A</v>
      </c>
      <c r="M1" s="1" t="str">
        <f>"AA_T_amphi_ty_12A"</f>
        <v>AA_T_amphi_ty_12A</v>
      </c>
      <c r="N1" s="1" t="str">
        <f>"AA_T_amphi_ty_13A"</f>
        <v>AA_T_amphi_ty_13A</v>
      </c>
      <c r="O1" s="1" t="str">
        <f>"AA_T_amphi_ty_14A"</f>
        <v>AA_T_amphi_ty_14A</v>
      </c>
      <c r="P1" s="1" t="str">
        <f>"AA_T_amphi_ty_15A"</f>
        <v>AA_T_amphi_ty_15A</v>
      </c>
      <c r="Q1" s="1" t="str">
        <f>"AA_T_amphi_ty_16A"</f>
        <v>AA_T_amphi_ty_16A</v>
      </c>
      <c r="R1" s="1" t="str">
        <f>"AA_T_amphi_ty_17A"</f>
        <v>AA_T_amphi_ty_17A</v>
      </c>
      <c r="S1" s="1" t="str">
        <f>"AA_T_amphi_ty_18A"</f>
        <v>AA_T_amphi_ty_18A</v>
      </c>
      <c r="T1" s="1" t="str">
        <f>"AA_T_amphi_ty_19A"</f>
        <v>AA_T_amphi_ty_19A</v>
      </c>
      <c r="U1" s="1" t="str">
        <f>"AA_T_amphi_ty_20A"</f>
        <v>AA_T_amphi_ty_20A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136.56281000000001</v>
      </c>
      <c r="C3">
        <v>98.765169999999998</v>
      </c>
      <c r="D3">
        <v>62.350441000000004</v>
      </c>
      <c r="E3">
        <v>41.939580999999997</v>
      </c>
      <c r="F3">
        <v>31.376259000000001</v>
      </c>
      <c r="G3">
        <v>24.7686961</v>
      </c>
      <c r="H3">
        <v>20.531458799999999</v>
      </c>
      <c r="I3">
        <v>17.341221600000001</v>
      </c>
      <c r="J3">
        <v>15.206231300000001</v>
      </c>
      <c r="K3">
        <v>13.289223400000001</v>
      </c>
      <c r="L3">
        <v>12.878819699999999</v>
      </c>
      <c r="M3">
        <v>11.5382303</v>
      </c>
      <c r="N3">
        <v>10.4101751</v>
      </c>
      <c r="O3">
        <v>9.4907381999999991</v>
      </c>
      <c r="P3">
        <v>8.7724135000000008</v>
      </c>
      <c r="Q3">
        <v>8.169456799999999</v>
      </c>
      <c r="R3">
        <v>7.5582950999999996</v>
      </c>
      <c r="S3">
        <v>7.1408638999999994</v>
      </c>
      <c r="T3">
        <v>6.6342115999999995</v>
      </c>
      <c r="U3">
        <v>6.3628622000000004</v>
      </c>
    </row>
    <row r="4" spans="1:24">
      <c r="A4" t="s">
        <v>1</v>
      </c>
      <c r="B4">
        <v>136.04555999999999</v>
      </c>
      <c r="C4">
        <v>98.051179999999988</v>
      </c>
      <c r="D4">
        <v>62.232809000000003</v>
      </c>
      <c r="E4">
        <v>41.776618999999997</v>
      </c>
      <c r="F4">
        <v>31.362416999999997</v>
      </c>
      <c r="G4">
        <v>24.710159600000001</v>
      </c>
      <c r="H4">
        <v>20.434371199999998</v>
      </c>
      <c r="I4">
        <v>17.2729933</v>
      </c>
      <c r="J4">
        <v>15.252924199999999</v>
      </c>
      <c r="K4">
        <v>13.1475419</v>
      </c>
      <c r="L4">
        <v>12.6124896</v>
      </c>
      <c r="M4">
        <v>11.4963578</v>
      </c>
      <c r="N4">
        <v>10.4396837</v>
      </c>
      <c r="O4">
        <v>9.6171793000000001</v>
      </c>
      <c r="P4">
        <v>9.0250634999999999</v>
      </c>
      <c r="Q4">
        <v>8.4188686999999991</v>
      </c>
      <c r="R4">
        <v>7.6970334000000005</v>
      </c>
      <c r="S4">
        <v>7.3835027999999996</v>
      </c>
      <c r="T4">
        <v>6.8288641000000005</v>
      </c>
      <c r="U4">
        <v>6.4031032000000003</v>
      </c>
    </row>
    <row r="5" spans="1:24">
      <c r="A5" t="s">
        <v>2</v>
      </c>
      <c r="B5">
        <v>133.17885000000001</v>
      </c>
      <c r="C5">
        <v>96.864086999999998</v>
      </c>
      <c r="D5">
        <v>62.053624000000006</v>
      </c>
      <c r="E5">
        <v>41.747363</v>
      </c>
      <c r="F5">
        <v>31.106436000000002</v>
      </c>
      <c r="G5">
        <v>24.935869400000001</v>
      </c>
      <c r="H5">
        <v>20.7342324</v>
      </c>
      <c r="I5">
        <v>17.574932199999999</v>
      </c>
      <c r="J5">
        <v>15.3828792</v>
      </c>
      <c r="K5">
        <v>13.165695699999999</v>
      </c>
      <c r="L5">
        <v>12.5778871</v>
      </c>
      <c r="M5">
        <v>11.5392467</v>
      </c>
      <c r="N5">
        <v>10.3794009</v>
      </c>
      <c r="O5">
        <v>9.4591829000000001</v>
      </c>
      <c r="P5">
        <v>8.8802498000000014</v>
      </c>
      <c r="Q5">
        <v>8.3827093000000001</v>
      </c>
      <c r="R5">
        <v>7.6049165000000007</v>
      </c>
      <c r="S5">
        <v>7.1841941</v>
      </c>
      <c r="T5">
        <v>6.8082266000000002</v>
      </c>
      <c r="U5">
        <v>6.4240849000000004</v>
      </c>
    </row>
    <row r="6" spans="1:24">
      <c r="A6" t="s">
        <v>3</v>
      </c>
      <c r="B6">
        <v>137.76657</v>
      </c>
      <c r="C6">
        <v>99.900629999999992</v>
      </c>
      <c r="D6">
        <v>63.119830999999998</v>
      </c>
      <c r="E6">
        <v>42.280411999999998</v>
      </c>
      <c r="F6">
        <v>31.633923899999999</v>
      </c>
      <c r="G6">
        <v>24.981809500000001</v>
      </c>
      <c r="H6">
        <v>20.5695856</v>
      </c>
      <c r="I6">
        <v>17.700458400000002</v>
      </c>
      <c r="J6">
        <v>15.4723524</v>
      </c>
      <c r="K6">
        <v>13.294259800000001</v>
      </c>
      <c r="L6">
        <v>12.769641700000001</v>
      </c>
      <c r="M6">
        <v>11.5895189</v>
      </c>
      <c r="N6">
        <v>10.502853699999999</v>
      </c>
      <c r="O6">
        <v>9.5079279999999997</v>
      </c>
      <c r="P6">
        <v>8.8495384000000001</v>
      </c>
      <c r="Q6">
        <v>8.2887114999999998</v>
      </c>
      <c r="R6">
        <v>7.4199275</v>
      </c>
      <c r="S6">
        <v>7.0865130999999995</v>
      </c>
      <c r="T6">
        <v>6.6409848999999994</v>
      </c>
      <c r="U6">
        <v>6.3231920000000006</v>
      </c>
    </row>
    <row r="7" spans="1:24">
      <c r="A7" t="s">
        <v>4</v>
      </c>
      <c r="B7">
        <v>132.86358999999999</v>
      </c>
      <c r="C7">
        <v>96.638622999999995</v>
      </c>
      <c r="D7">
        <v>61.158400000000007</v>
      </c>
      <c r="E7">
        <v>41.845195000000004</v>
      </c>
      <c r="F7">
        <v>31.541471999999999</v>
      </c>
      <c r="G7">
        <v>24.8388259</v>
      </c>
      <c r="H7">
        <v>20.347974099999998</v>
      </c>
      <c r="I7">
        <v>17.313695099999997</v>
      </c>
      <c r="J7">
        <v>15.226456200000001</v>
      </c>
      <c r="K7">
        <v>13.110833400000001</v>
      </c>
      <c r="L7">
        <v>12.691948499999999</v>
      </c>
      <c r="M7">
        <v>11.5794455</v>
      </c>
      <c r="N7">
        <v>10.4539498</v>
      </c>
      <c r="O7">
        <v>9.5635151</v>
      </c>
      <c r="P7">
        <v>8.9821293999999998</v>
      </c>
      <c r="Q7">
        <v>8.4743200000000005</v>
      </c>
      <c r="R7">
        <v>7.6167993000000003</v>
      </c>
      <c r="S7">
        <v>7.2708273999999999</v>
      </c>
      <c r="T7">
        <v>6.7548310999999996</v>
      </c>
      <c r="U7">
        <v>6.4195203000000003</v>
      </c>
    </row>
    <row r="8" spans="1:24">
      <c r="A8" t="s">
        <v>42</v>
      </c>
      <c r="B8">
        <v>135.72187</v>
      </c>
      <c r="C8">
        <v>98.174000000000007</v>
      </c>
      <c r="D8">
        <v>62.085583999999997</v>
      </c>
      <c r="E8">
        <v>41.900798999999999</v>
      </c>
      <c r="F8">
        <v>31.390938999999996</v>
      </c>
      <c r="G8">
        <v>24.887959800000001</v>
      </c>
      <c r="H8">
        <v>20.5513406</v>
      </c>
      <c r="I8">
        <v>17.481141999999998</v>
      </c>
      <c r="J8">
        <v>15.3706792</v>
      </c>
      <c r="K8">
        <v>13.2066108</v>
      </c>
      <c r="L8">
        <v>12.663632</v>
      </c>
      <c r="M8">
        <v>11.4206585</v>
      </c>
      <c r="N8">
        <v>10.3568338</v>
      </c>
      <c r="O8">
        <v>9.5785653999999987</v>
      </c>
      <c r="P8">
        <v>8.8868517999999987</v>
      </c>
      <c r="Q8">
        <v>8.2955360999999996</v>
      </c>
      <c r="R8">
        <v>7.5560739000000003</v>
      </c>
      <c r="S8">
        <v>7.0888819999999999</v>
      </c>
      <c r="T8">
        <v>6.5845380000000002</v>
      </c>
      <c r="U8">
        <v>6.2976181999999996</v>
      </c>
    </row>
    <row r="9" spans="1:24">
      <c r="A9" t="s">
        <v>5</v>
      </c>
      <c r="B9">
        <v>129.83697999999998</v>
      </c>
      <c r="C9">
        <v>94.892200000000003</v>
      </c>
      <c r="D9">
        <v>60.122202999999999</v>
      </c>
      <c r="E9">
        <v>41.128430999999999</v>
      </c>
      <c r="F9">
        <v>30.695792000000001</v>
      </c>
      <c r="G9">
        <v>24.496777399999999</v>
      </c>
      <c r="H9">
        <v>20.235471500000003</v>
      </c>
      <c r="I9">
        <v>17.0945547</v>
      </c>
      <c r="J9">
        <v>15.0887905</v>
      </c>
      <c r="K9">
        <v>13.003943</v>
      </c>
      <c r="L9">
        <v>12.747880500000001</v>
      </c>
      <c r="M9">
        <v>11.4332096</v>
      </c>
      <c r="N9">
        <v>10.3201106</v>
      </c>
      <c r="O9">
        <v>9.3577227999999995</v>
      </c>
      <c r="P9">
        <v>8.6867623999999992</v>
      </c>
      <c r="Q9">
        <v>8.2640449</v>
      </c>
      <c r="R9">
        <v>7.5534679000000002</v>
      </c>
      <c r="S9">
        <v>7.1163587000000001</v>
      </c>
      <c r="T9">
        <v>6.6706561999999998</v>
      </c>
      <c r="U9">
        <v>6.3975793999999997</v>
      </c>
    </row>
    <row r="10" spans="1:24">
      <c r="A10" t="s">
        <v>6</v>
      </c>
      <c r="B10">
        <v>132.33455000000001</v>
      </c>
      <c r="C10">
        <v>95.903350000000003</v>
      </c>
      <c r="D10">
        <v>61.220226999999994</v>
      </c>
      <c r="E10">
        <v>41.380942000000005</v>
      </c>
      <c r="F10">
        <v>31.265239999999999</v>
      </c>
      <c r="G10">
        <v>24.737945500000002</v>
      </c>
      <c r="H10">
        <v>20.363999199999999</v>
      </c>
      <c r="I10">
        <v>17.2126281</v>
      </c>
      <c r="J10">
        <v>15.3162004</v>
      </c>
      <c r="K10">
        <v>13.2531862</v>
      </c>
      <c r="L10">
        <v>12.8595779</v>
      </c>
      <c r="M10">
        <v>11.6174163</v>
      </c>
      <c r="N10">
        <v>10.547264799999999</v>
      </c>
      <c r="O10">
        <v>9.6219950000000001</v>
      </c>
      <c r="P10">
        <v>8.9387924999999999</v>
      </c>
      <c r="Q10">
        <v>8.3025803000000007</v>
      </c>
      <c r="R10">
        <v>7.6091432999999995</v>
      </c>
      <c r="S10">
        <v>7.2007513999999997</v>
      </c>
      <c r="T10">
        <v>6.7285551999999997</v>
      </c>
      <c r="U10">
        <v>6.3390677999999996</v>
      </c>
    </row>
  </sheetData>
  <phoneticPr fontId="0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"AA_amphi_den_1.4A"</f>
        <v>AA_amphi_den_1.4A</v>
      </c>
      <c r="C1" s="1" t="str">
        <f>"AA_amphi_den_2A"</f>
        <v>AA_amphi_den_2A</v>
      </c>
      <c r="D1" s="1" t="str">
        <f>"AA_amphi_den_3A"</f>
        <v>AA_amphi_den_3A</v>
      </c>
      <c r="E1" s="1" t="str">
        <f>"AA_amphi_den_4A"</f>
        <v>AA_amphi_den_4A</v>
      </c>
      <c r="F1" s="1" t="str">
        <f>"AA_amphi_den_5A"</f>
        <v>AA_amphi_den_5A</v>
      </c>
      <c r="G1" s="1" t="str">
        <f>"AA_amphi_den_6A"</f>
        <v>AA_amphi_den_6A</v>
      </c>
      <c r="H1" s="1" t="str">
        <f>"AA_amphi_den_7A"</f>
        <v>AA_amphi_den_7A</v>
      </c>
      <c r="I1" s="1" t="str">
        <f>"AA_amphi_den_8A"</f>
        <v>AA_amphi_den_8A</v>
      </c>
      <c r="J1" s="1" t="str">
        <f>"AA_amphi_den_9A"</f>
        <v>AA_amphi_den_9A</v>
      </c>
      <c r="K1" s="1" t="str">
        <f>"AA_amphi_den_10A"</f>
        <v>AA_amphi_den_10A</v>
      </c>
      <c r="L1" s="1" t="str">
        <f>"AA_amphi_den_11A"</f>
        <v>AA_amphi_den_11A</v>
      </c>
      <c r="M1" s="1" t="str">
        <f>"AA_amphi_den_12A"</f>
        <v>AA_amphi_den_12A</v>
      </c>
      <c r="N1" s="1" t="str">
        <f>"AA_amphi_den_13A"</f>
        <v>AA_amphi_den_13A</v>
      </c>
      <c r="O1" s="1" t="str">
        <f>"AA_amphi_den_14A"</f>
        <v>AA_amphi_den_14A</v>
      </c>
      <c r="P1" s="1" t="str">
        <f>"AA_amphi_den_15A"</f>
        <v>AA_amphi_den_15A</v>
      </c>
      <c r="Q1" s="1" t="str">
        <f>"AA_amphi_den_16A"</f>
        <v>AA_amphi_den_16A</v>
      </c>
      <c r="R1" s="1" t="str">
        <f>"AA_amphi_den_17A"</f>
        <v>AA_amphi_den_17A</v>
      </c>
      <c r="S1" s="1" t="str">
        <f>"AA_amphi_den_18A"</f>
        <v>AA_amphi_den_18A</v>
      </c>
      <c r="T1" s="1" t="str">
        <f>"AA_amphi_den_19A"</f>
        <v>AA_amphi_den_19A</v>
      </c>
      <c r="U1" s="1" t="str">
        <f>"AA_amphi_den_20A"</f>
        <v>AA_amphi_den_20A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1.5907949431095161E-2</v>
      </c>
      <c r="C3">
        <v>1.7748618605817994E-2</v>
      </c>
      <c r="D3">
        <v>1.92611496863405E-2</v>
      </c>
      <c r="E3">
        <v>1.945582569558519E-2</v>
      </c>
      <c r="F3">
        <v>1.9798095294583838E-2</v>
      </c>
      <c r="G3">
        <v>1.9998866455928719E-2</v>
      </c>
      <c r="H3">
        <v>2.0298232113021383E-2</v>
      </c>
      <c r="I3">
        <v>2.0345489474004073E-2</v>
      </c>
      <c r="J3">
        <v>2.0705348151198212E-2</v>
      </c>
      <c r="K3">
        <v>2.0438421926279274E-2</v>
      </c>
      <c r="L3">
        <v>2.2092581718737372E-2</v>
      </c>
      <c r="M3">
        <v>2.2073236419386182E-2</v>
      </c>
      <c r="N3">
        <v>2.1875851273611233E-2</v>
      </c>
      <c r="O3">
        <v>2.1655862851697856E-2</v>
      </c>
      <c r="P3">
        <v>2.1872257525963355E-2</v>
      </c>
      <c r="Q3">
        <v>2.181960583212476E-2</v>
      </c>
      <c r="R3">
        <v>2.1396265849122301E-2</v>
      </c>
      <c r="S3">
        <v>2.1477961885741439E-2</v>
      </c>
      <c r="T3">
        <v>2.12422292550664E-2</v>
      </c>
      <c r="U3">
        <v>2.1211180997997178E-2</v>
      </c>
    </row>
    <row r="4" spans="1:24">
      <c r="A4" t="s">
        <v>1</v>
      </c>
      <c r="B4">
        <v>1.5782849671716455E-2</v>
      </c>
      <c r="C4">
        <v>1.758262208702226E-2</v>
      </c>
      <c r="D4">
        <v>1.9115988852223154E-2</v>
      </c>
      <c r="E4">
        <v>1.9384714718170392E-2</v>
      </c>
      <c r="F4">
        <v>1.9810261252952988E-2</v>
      </c>
      <c r="G4">
        <v>1.9854614380240325E-2</v>
      </c>
      <c r="H4">
        <v>2.0283844787829512E-2</v>
      </c>
      <c r="I4">
        <v>2.0254742564268055E-2</v>
      </c>
      <c r="J4">
        <v>2.0624364671625029E-2</v>
      </c>
      <c r="K4">
        <v>2.0144756641849511E-2</v>
      </c>
      <c r="L4">
        <v>2.1715786309255091E-2</v>
      </c>
      <c r="M4">
        <v>2.1945523498789466E-2</v>
      </c>
      <c r="N4">
        <v>2.190166713660173E-2</v>
      </c>
      <c r="O4">
        <v>2.1779142506128595E-2</v>
      </c>
      <c r="P4">
        <v>2.1920439202359084E-2</v>
      </c>
      <c r="Q4">
        <v>2.1975126400058467E-2</v>
      </c>
      <c r="R4">
        <v>2.1368225084693819E-2</v>
      </c>
      <c r="S4">
        <v>2.1638141022541347E-2</v>
      </c>
      <c r="T4">
        <v>2.1566255102704664E-2</v>
      </c>
      <c r="U4">
        <v>2.1317605901316025E-2</v>
      </c>
    </row>
    <row r="5" spans="1:24">
      <c r="A5" t="s">
        <v>2</v>
      </c>
      <c r="B5">
        <v>1.5823268556144573E-2</v>
      </c>
      <c r="C5">
        <v>1.7725923151135758E-2</v>
      </c>
      <c r="D5">
        <v>1.9171666765531697E-2</v>
      </c>
      <c r="E5">
        <v>1.9293005554888023E-2</v>
      </c>
      <c r="F5">
        <v>1.9544141457741557E-2</v>
      </c>
      <c r="G5">
        <v>1.9844188087854125E-2</v>
      </c>
      <c r="H5">
        <v>2.0152921382715568E-2</v>
      </c>
      <c r="I5">
        <v>2.0359569573290735E-2</v>
      </c>
      <c r="J5">
        <v>2.0684973700173234E-2</v>
      </c>
      <c r="K5">
        <v>2.0313773275707905E-2</v>
      </c>
      <c r="L5">
        <v>2.1937885645346423E-2</v>
      </c>
      <c r="M5">
        <v>2.2059920682334564E-2</v>
      </c>
      <c r="N5">
        <v>2.1771941688941546E-2</v>
      </c>
      <c r="O5">
        <v>2.1561494545792731E-2</v>
      </c>
      <c r="P5">
        <v>2.1735006326960689E-2</v>
      </c>
      <c r="Q5">
        <v>2.1888632530565642E-2</v>
      </c>
      <c r="R5">
        <v>2.1350723953304715E-2</v>
      </c>
      <c r="S5">
        <v>2.1441451258129119E-2</v>
      </c>
      <c r="T5">
        <v>2.1510406829516427E-2</v>
      </c>
      <c r="U5">
        <v>2.1360024033034452E-2</v>
      </c>
    </row>
    <row r="6" spans="1:24">
      <c r="A6" t="s">
        <v>3</v>
      </c>
      <c r="B6">
        <v>1.6029088569405752E-2</v>
      </c>
      <c r="C6">
        <v>1.787267969712171E-2</v>
      </c>
      <c r="D6">
        <v>1.9416235116717664E-2</v>
      </c>
      <c r="E6">
        <v>1.9617086371407959E-2</v>
      </c>
      <c r="F6">
        <v>1.9914838208075745E-2</v>
      </c>
      <c r="G6">
        <v>2.0090852247229868E-2</v>
      </c>
      <c r="H6">
        <v>2.0363829467064776E-2</v>
      </c>
      <c r="I6">
        <v>2.0664675982185878E-2</v>
      </c>
      <c r="J6">
        <v>2.0922574175272872E-2</v>
      </c>
      <c r="K6">
        <v>2.047637492381579E-2</v>
      </c>
      <c r="L6">
        <v>2.1920329126583413E-2</v>
      </c>
      <c r="M6">
        <v>2.2134911872082018E-2</v>
      </c>
      <c r="N6">
        <v>2.2033055918128111E-2</v>
      </c>
      <c r="O6">
        <v>2.1804948806830492E-2</v>
      </c>
      <c r="P6">
        <v>2.1833304755295099E-2</v>
      </c>
      <c r="Q6">
        <v>2.2035648800837748E-2</v>
      </c>
      <c r="R6">
        <v>2.120716689203074E-2</v>
      </c>
      <c r="S6">
        <v>2.1346069863405284E-2</v>
      </c>
      <c r="T6">
        <v>2.1406946297485987E-2</v>
      </c>
      <c r="U6">
        <v>2.1218337885814384E-2</v>
      </c>
    </row>
    <row r="7" spans="1:24">
      <c r="A7" t="s">
        <v>4</v>
      </c>
      <c r="B7">
        <v>1.578631636867027E-2</v>
      </c>
      <c r="C7">
        <v>1.7608032576782062E-2</v>
      </c>
      <c r="D7">
        <v>1.9062473311527491E-2</v>
      </c>
      <c r="E7">
        <v>1.9213719666042364E-2</v>
      </c>
      <c r="F7">
        <v>1.9610123673549574E-2</v>
      </c>
      <c r="G7">
        <v>1.9790048178775367E-2</v>
      </c>
      <c r="H7">
        <v>1.9992487676621984E-2</v>
      </c>
      <c r="I7">
        <v>2.0091492633647214E-2</v>
      </c>
      <c r="J7">
        <v>2.0427793148026362E-2</v>
      </c>
      <c r="K7">
        <v>2.0000038746658483E-2</v>
      </c>
      <c r="L7">
        <v>2.1781449927603672E-2</v>
      </c>
      <c r="M7">
        <v>2.1964430145594349E-2</v>
      </c>
      <c r="N7">
        <v>2.168422522082069E-2</v>
      </c>
      <c r="O7">
        <v>2.1524972394691318E-2</v>
      </c>
      <c r="P7">
        <v>2.1761844249754147E-2</v>
      </c>
      <c r="Q7">
        <v>2.1954361833288388E-2</v>
      </c>
      <c r="R7">
        <v>2.1195574608051024E-2</v>
      </c>
      <c r="S7">
        <v>2.1444914225680414E-2</v>
      </c>
      <c r="T7">
        <v>2.1178312051027368E-2</v>
      </c>
      <c r="U7">
        <v>2.1047614441840799E-2</v>
      </c>
    </row>
    <row r="8" spans="1:24">
      <c r="A8" t="s">
        <v>42</v>
      </c>
      <c r="B8">
        <v>1.5813598551954796E-2</v>
      </c>
      <c r="C8">
        <v>1.7591271271902634E-2</v>
      </c>
      <c r="D8">
        <v>1.9067620699038165E-2</v>
      </c>
      <c r="E8">
        <v>1.9459093492891762E-2</v>
      </c>
      <c r="F8">
        <v>1.9693952336916488E-2</v>
      </c>
      <c r="G8">
        <v>1.9978486487527876E-2</v>
      </c>
      <c r="H8">
        <v>2.0322006753783553E-2</v>
      </c>
      <c r="I8">
        <v>2.0478682533562987E-2</v>
      </c>
      <c r="J8">
        <v>2.0785260291088965E-2</v>
      </c>
      <c r="K8">
        <v>2.0385615145228055E-2</v>
      </c>
      <c r="L8">
        <v>2.2055801894687449E-2</v>
      </c>
      <c r="M8">
        <v>2.2006326550431662E-2</v>
      </c>
      <c r="N8">
        <v>2.1887336629553895E-2</v>
      </c>
      <c r="O8">
        <v>2.1855478058650814E-2</v>
      </c>
      <c r="P8">
        <v>2.1961367415083932E-2</v>
      </c>
      <c r="Q8">
        <v>2.1972596023574712E-2</v>
      </c>
      <c r="R8">
        <v>2.1374748058512378E-2</v>
      </c>
      <c r="S8">
        <v>2.1314240699481943E-2</v>
      </c>
      <c r="T8">
        <v>2.1170480139024419E-2</v>
      </c>
      <c r="U8">
        <v>2.1204330147664888E-2</v>
      </c>
    </row>
    <row r="9" spans="1:24">
      <c r="A9" t="s">
        <v>5</v>
      </c>
      <c r="B9">
        <v>1.548987449974976E-2</v>
      </c>
      <c r="C9">
        <v>1.7408787151736015E-2</v>
      </c>
      <c r="D9">
        <v>1.8901621795299039E-2</v>
      </c>
      <c r="E9">
        <v>1.9129645150847634E-2</v>
      </c>
      <c r="F9">
        <v>1.9432845250930149E-2</v>
      </c>
      <c r="G9">
        <v>1.9782075727672384E-2</v>
      </c>
      <c r="H9">
        <v>2.0003688758356921E-2</v>
      </c>
      <c r="I9">
        <v>2.0127679217544495E-2</v>
      </c>
      <c r="J9">
        <v>2.0345113275677482E-2</v>
      </c>
      <c r="K9">
        <v>2.0076841653793077E-2</v>
      </c>
      <c r="L9">
        <v>2.188529938916987E-2</v>
      </c>
      <c r="M9">
        <v>2.1975113011284887E-2</v>
      </c>
      <c r="N9">
        <v>2.183978908746001E-2</v>
      </c>
      <c r="O9">
        <v>2.147542909100339E-2</v>
      </c>
      <c r="P9">
        <v>2.1558440681768657E-2</v>
      </c>
      <c r="Q9">
        <v>2.1603984951536388E-2</v>
      </c>
      <c r="R9">
        <v>2.1222202617476985E-2</v>
      </c>
      <c r="S9">
        <v>2.1407817009091244E-2</v>
      </c>
      <c r="T9">
        <v>2.1222115149986145E-2</v>
      </c>
      <c r="U9">
        <v>2.1197591572624748E-2</v>
      </c>
    </row>
    <row r="10" spans="1:24">
      <c r="A10" t="s">
        <v>6</v>
      </c>
      <c r="B10">
        <v>1.5711488201829583E-2</v>
      </c>
      <c r="C10">
        <v>1.7493923399722187E-2</v>
      </c>
      <c r="D10">
        <v>1.9021980217462497E-2</v>
      </c>
      <c r="E10">
        <v>1.9173350853676562E-2</v>
      </c>
      <c r="F10">
        <v>1.9499655102303018E-2</v>
      </c>
      <c r="G10">
        <v>1.9740058730355059E-2</v>
      </c>
      <c r="H10">
        <v>2.0000549219581758E-2</v>
      </c>
      <c r="I10">
        <v>1.9949534688172406E-2</v>
      </c>
      <c r="J10">
        <v>2.0342543982738017E-2</v>
      </c>
      <c r="K10">
        <v>2.0153418384136125E-2</v>
      </c>
      <c r="L10">
        <v>2.1935527390202346E-2</v>
      </c>
      <c r="M10">
        <v>2.2091517062551535E-2</v>
      </c>
      <c r="N10">
        <v>2.1940155863347483E-2</v>
      </c>
      <c r="O10">
        <v>2.1815159616676929E-2</v>
      </c>
      <c r="P10">
        <v>2.193954201523507E-2</v>
      </c>
      <c r="Q10">
        <v>2.1974654158945946E-2</v>
      </c>
      <c r="R10">
        <v>2.1441587216782791E-2</v>
      </c>
      <c r="S10">
        <v>2.1494267002579042E-2</v>
      </c>
      <c r="T10">
        <v>2.1199136981502064E-2</v>
      </c>
      <c r="U10">
        <v>2.1093670668731086E-2</v>
      </c>
    </row>
  </sheetData>
  <phoneticPr fontId="0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X10"/>
  <sheetViews>
    <sheetView topLeftCell="A2" workbookViewId="0">
      <selection activeCell="A9" sqref="A9"/>
    </sheetView>
  </sheetViews>
  <sheetFormatPr defaultRowHeight="15"/>
  <sheetData>
    <row r="1" spans="1:24">
      <c r="A1" s="1"/>
      <c r="B1" s="1" t="str">
        <f>"AA_R_phophi_ty_1.4A"</f>
        <v>AA_R_phophi_ty_1.4A</v>
      </c>
      <c r="C1" s="1" t="str">
        <f>"AA_R_phophi_ty_2A"</f>
        <v>AA_R_phophi_ty_2A</v>
      </c>
      <c r="D1" s="1" t="str">
        <f>"AA_R_phophi_ty_3A"</f>
        <v>AA_R_phophi_ty_3A</v>
      </c>
      <c r="E1" s="1" t="str">
        <f>"AA_R_phophi_ty_4A"</f>
        <v>AA_R_phophi_ty_4A</v>
      </c>
      <c r="F1" s="1" t="str">
        <f>"AA_R_phophi_ty_5A"</f>
        <v>AA_R_phophi_ty_5A</v>
      </c>
      <c r="G1" s="1" t="str">
        <f>"AA_R_phophi_ty_6A"</f>
        <v>AA_R_phophi_ty_6A</v>
      </c>
      <c r="H1" s="1" t="str">
        <f>"AA_R_phophi_ty_7A"</f>
        <v>AA_R_phophi_ty_7A</v>
      </c>
      <c r="I1" s="1" t="str">
        <f>"AA_R_phophi_ty_8A"</f>
        <v>AA_R_phophi_ty_8A</v>
      </c>
      <c r="J1" s="1" t="str">
        <f>"AA_R_phophi_ty_9A"</f>
        <v>AA_R_phophi_ty_9A</v>
      </c>
      <c r="K1" s="1" t="str">
        <f>"AA_R_phophi_ty_10A"</f>
        <v>AA_R_phophi_ty_10A</v>
      </c>
      <c r="L1" s="1" t="str">
        <f>"AA_R_phophi_ty_11A"</f>
        <v>AA_R_phophi_ty_11A</v>
      </c>
      <c r="M1" s="1" t="str">
        <f>"AA_R_phophi_ty_12A"</f>
        <v>AA_R_phophi_ty_12A</v>
      </c>
      <c r="N1" s="1" t="str">
        <f>"AA_R_phophi_ty_13A"</f>
        <v>AA_R_phophi_ty_13A</v>
      </c>
      <c r="O1" s="1" t="str">
        <f>"AA_R_phophi_ty_14A"</f>
        <v>AA_R_phophi_ty_14A</v>
      </c>
      <c r="P1" s="1" t="str">
        <f>"AA_R_phophi_ty_15A"</f>
        <v>AA_R_phophi_ty_15A</v>
      </c>
      <c r="Q1" s="1" t="str">
        <f>"AA_R_phophi_ty_16A"</f>
        <v>AA_R_phophi_ty_16A</v>
      </c>
      <c r="R1" s="1" t="str">
        <f>"AA_R_phophi_ty_17A"</f>
        <v>AA_R_phophi_ty_17A</v>
      </c>
      <c r="S1" s="1" t="str">
        <f>"AA_R_phophi_ty_18A"</f>
        <v>AA_R_phophi_ty_18A</v>
      </c>
      <c r="T1" s="1" t="str">
        <f>"AA_R_phophi_ty_19A"</f>
        <v>AA_R_phophi_ty_19A</v>
      </c>
      <c r="U1" s="1" t="str">
        <f>"AA_R_phophi_ty_20A"</f>
        <v>AA_R_phophi_ty_20A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-0.13027400645275516</v>
      </c>
      <c r="C3">
        <v>-9.2828058766527513E-2</v>
      </c>
      <c r="D3">
        <v>-5.2602437871444453E-2</v>
      </c>
      <c r="E3">
        <v>-3.8662232641021116E-2</v>
      </c>
      <c r="F3">
        <v>-3.2187489300510151E-2</v>
      </c>
      <c r="G3">
        <v>-2.3865667859607389E-2</v>
      </c>
      <c r="H3">
        <v>-2.3719653889699092E-2</v>
      </c>
      <c r="I3">
        <v>-2.2986835477840716E-2</v>
      </c>
      <c r="J3">
        <v>-2.0212004958788447E-2</v>
      </c>
      <c r="K3">
        <v>-1.9252743522188028E-2</v>
      </c>
      <c r="L3">
        <v>-1.9257986964378592E-2</v>
      </c>
      <c r="M3">
        <v>-1.8979761016064332E-2</v>
      </c>
      <c r="N3">
        <v>-1.883178856133565E-2</v>
      </c>
      <c r="O3">
        <v>-1.8658392191155025E-2</v>
      </c>
      <c r="P3">
        <v>-1.8655462504494263E-2</v>
      </c>
      <c r="Q3">
        <v>-1.8666775577472521E-2</v>
      </c>
      <c r="R3">
        <v>-1.6359049026301153E-2</v>
      </c>
      <c r="S3">
        <v>-1.6993100649518256E-2</v>
      </c>
      <c r="T3">
        <v>-1.7913317404910575E-2</v>
      </c>
      <c r="U3">
        <v>-1.7820211360776821E-2</v>
      </c>
    </row>
    <row r="4" spans="1:24">
      <c r="A4" t="s">
        <v>1</v>
      </c>
      <c r="B4">
        <v>-0.13239182604159427</v>
      </c>
      <c r="C4">
        <v>-9.4922767056877494E-2</v>
      </c>
      <c r="D4">
        <v>-5.4236776325467674E-2</v>
      </c>
      <c r="E4">
        <v>-3.8830900153182905E-2</v>
      </c>
      <c r="F4">
        <v>-3.1784503448075728E-2</v>
      </c>
      <c r="G4">
        <v>-2.5709526102023445E-2</v>
      </c>
      <c r="H4">
        <v>-2.4219712275631675E-2</v>
      </c>
      <c r="I4">
        <v>-2.3057210533995905E-2</v>
      </c>
      <c r="J4">
        <v>-2.1663328131504289E-2</v>
      </c>
      <c r="K4">
        <v>-2.1142662930182139E-2</v>
      </c>
      <c r="L4">
        <v>-2.0885748820210024E-2</v>
      </c>
      <c r="M4">
        <v>-2.0580477136939817E-2</v>
      </c>
      <c r="N4">
        <v>-1.8946585473579358E-2</v>
      </c>
      <c r="O4">
        <v>-1.8558731842731078E-2</v>
      </c>
      <c r="P4">
        <v>-1.8516840936248957E-2</v>
      </c>
      <c r="Q4">
        <v>-1.7865158564345885E-2</v>
      </c>
      <c r="R4">
        <v>-1.7677716989290344E-2</v>
      </c>
      <c r="S4">
        <v>-1.6901956795097602E-2</v>
      </c>
      <c r="T4">
        <v>-1.7032337242491244E-2</v>
      </c>
      <c r="U4">
        <v>-1.7587975703837081E-2</v>
      </c>
    </row>
    <row r="5" spans="1:24">
      <c r="A5" t="s">
        <v>2</v>
      </c>
      <c r="B5">
        <v>-0.12866385683741111</v>
      </c>
      <c r="C5">
        <v>-9.0072220004227224E-2</v>
      </c>
      <c r="D5">
        <v>-5.1578811261297465E-2</v>
      </c>
      <c r="E5">
        <v>-3.8517842090474846E-2</v>
      </c>
      <c r="F5">
        <v>-3.1887388538362163E-2</v>
      </c>
      <c r="G5">
        <v>-2.5474753309303565E-2</v>
      </c>
      <c r="H5">
        <v>-2.3065994841635185E-2</v>
      </c>
      <c r="I5">
        <v>-2.1124182642501474E-2</v>
      </c>
      <c r="J5">
        <v>-1.8790084618299136E-2</v>
      </c>
      <c r="K5">
        <v>-1.8682749033828126E-2</v>
      </c>
      <c r="L5">
        <v>-1.9273415271807485E-2</v>
      </c>
      <c r="M5">
        <v>-1.9511074555161202E-2</v>
      </c>
      <c r="N5">
        <v>-1.9093724483624158E-2</v>
      </c>
      <c r="O5">
        <v>-1.9888968488055395E-2</v>
      </c>
      <c r="P5">
        <v>-1.8731989873775799E-2</v>
      </c>
      <c r="Q5">
        <v>-1.7651330652239793E-2</v>
      </c>
      <c r="R5">
        <v>-1.7720554510262124E-2</v>
      </c>
      <c r="S5">
        <v>-1.7846158178820994E-2</v>
      </c>
      <c r="T5">
        <v>-1.85389345101248E-2</v>
      </c>
      <c r="U5">
        <v>-1.934779552328415E-2</v>
      </c>
    </row>
    <row r="6" spans="1:24">
      <c r="A6" t="s">
        <v>3</v>
      </c>
      <c r="B6">
        <v>-0.12860788845498466</v>
      </c>
      <c r="C6">
        <v>-9.1875197713612522E-2</v>
      </c>
      <c r="D6">
        <v>-5.2007543108465379E-2</v>
      </c>
      <c r="E6">
        <v>-3.8079180236678445E-2</v>
      </c>
      <c r="F6">
        <v>-3.0506780094234208E-2</v>
      </c>
      <c r="G6">
        <v>-2.4230778094200607E-2</v>
      </c>
      <c r="H6">
        <v>-2.3842748671222477E-2</v>
      </c>
      <c r="I6">
        <v>-2.1140689961808883E-2</v>
      </c>
      <c r="J6">
        <v>-1.9734589301462761E-2</v>
      </c>
      <c r="K6">
        <v>-1.86290159464132E-2</v>
      </c>
      <c r="L6">
        <v>-1.9368838245841992E-2</v>
      </c>
      <c r="M6">
        <v>-1.9036152430673702E-2</v>
      </c>
      <c r="N6">
        <v>-1.8179891617814914E-2</v>
      </c>
      <c r="O6">
        <v>-1.8614671429538727E-2</v>
      </c>
      <c r="P6">
        <v>-1.8895680110935981E-2</v>
      </c>
      <c r="Q6">
        <v>-1.7803799687568025E-2</v>
      </c>
      <c r="R6">
        <v>-1.7642037176124867E-2</v>
      </c>
      <c r="S6">
        <v>-1.8177489185286257E-2</v>
      </c>
      <c r="T6">
        <v>-1.7848416145715484E-2</v>
      </c>
      <c r="U6">
        <v>-1.7293126513723597E-2</v>
      </c>
    </row>
    <row r="7" spans="1:24">
      <c r="A7" t="s">
        <v>4</v>
      </c>
      <c r="B7">
        <v>-0.13101586510507518</v>
      </c>
      <c r="C7">
        <v>-9.3229402905948416E-2</v>
      </c>
      <c r="D7">
        <v>-5.4124340742525624E-2</v>
      </c>
      <c r="E7">
        <v>-4.0988855171313725E-2</v>
      </c>
      <c r="F7">
        <v>-3.3921376386452623E-2</v>
      </c>
      <c r="G7">
        <v>-2.7722343675688585E-2</v>
      </c>
      <c r="H7">
        <v>-2.5111316063069843E-2</v>
      </c>
      <c r="I7">
        <v>-2.4329906725333382E-2</v>
      </c>
      <c r="J7">
        <v>-2.1648497948389103E-2</v>
      </c>
      <c r="K7">
        <v>-2.147590267028297E-2</v>
      </c>
      <c r="L7">
        <v>-2.0575672643144544E-2</v>
      </c>
      <c r="M7">
        <v>-2.0953652026207231E-2</v>
      </c>
      <c r="N7">
        <v>-1.9539911219822383E-2</v>
      </c>
      <c r="O7">
        <v>-1.8788213821854655E-2</v>
      </c>
      <c r="P7">
        <v>-1.8091217377720393E-2</v>
      </c>
      <c r="Q7">
        <v>-1.8114261971682807E-2</v>
      </c>
      <c r="R7">
        <v>-1.8127757358628326E-2</v>
      </c>
      <c r="S7">
        <v>-1.8725976199187564E-2</v>
      </c>
      <c r="T7">
        <v>-1.9620831234282519E-2</v>
      </c>
      <c r="U7">
        <v>-1.9270887997407747E-2</v>
      </c>
    </row>
    <row r="8" spans="1:24">
      <c r="A8" t="s">
        <v>42</v>
      </c>
      <c r="B8">
        <v>-0.1323251728357335</v>
      </c>
      <c r="C8">
        <v>-9.6194264745279312E-2</v>
      </c>
      <c r="D8">
        <v>-5.6204245300371554E-2</v>
      </c>
      <c r="E8">
        <v>-4.0687820585027325E-2</v>
      </c>
      <c r="F8">
        <v>-3.4294917940596303E-2</v>
      </c>
      <c r="G8">
        <v>-2.7737732532905901E-2</v>
      </c>
      <c r="H8">
        <v>-2.5594580857572557E-2</v>
      </c>
      <c r="I8">
        <v>-2.4110270568407467E-2</v>
      </c>
      <c r="J8">
        <v>-2.1598409674353711E-2</v>
      </c>
      <c r="K8">
        <v>-2.0439513491141641E-2</v>
      </c>
      <c r="L8">
        <v>-1.8789365983451274E-2</v>
      </c>
      <c r="M8">
        <v>-1.9718781946355443E-2</v>
      </c>
      <c r="N8">
        <v>-1.6899705454362514E-2</v>
      </c>
      <c r="O8">
        <v>-1.6897485744161493E-2</v>
      </c>
      <c r="P8">
        <v>-1.6157908015928171E-2</v>
      </c>
      <c r="Q8">
        <v>-1.6963296646728326E-2</v>
      </c>
      <c r="R8">
        <v>-1.747285723796585E-2</v>
      </c>
      <c r="S8">
        <v>-1.7564531174794243E-2</v>
      </c>
      <c r="T8">
        <v>-1.820950299724319E-2</v>
      </c>
      <c r="U8">
        <v>-1.6714954333336664E-2</v>
      </c>
    </row>
    <row r="9" spans="1:24">
      <c r="A9" t="s">
        <v>5</v>
      </c>
      <c r="B9">
        <v>-0.14020369646842243</v>
      </c>
      <c r="C9">
        <v>-9.9755993897950049E-2</v>
      </c>
      <c r="D9">
        <v>-5.8908082230763194E-2</v>
      </c>
      <c r="E9">
        <v>-4.5493142396829611E-2</v>
      </c>
      <c r="F9">
        <v>-3.7816729426124754E-2</v>
      </c>
      <c r="G9">
        <v>-3.1320637878210308E-2</v>
      </c>
      <c r="H9">
        <v>-2.9477978272515845E-2</v>
      </c>
      <c r="I9">
        <v>-2.6783108454312553E-2</v>
      </c>
      <c r="J9">
        <v>-2.6804651330785238E-2</v>
      </c>
      <c r="K9">
        <v>-2.3900945478128502E-2</v>
      </c>
      <c r="L9">
        <v>-2.2715072929076412E-2</v>
      </c>
      <c r="M9">
        <v>-2.1204735936443255E-2</v>
      </c>
      <c r="N9">
        <v>-1.9839433944344193E-2</v>
      </c>
      <c r="O9">
        <v>-2.0033073554466697E-2</v>
      </c>
      <c r="P9">
        <v>-2.0045739970310648E-2</v>
      </c>
      <c r="Q9">
        <v>-2.0140845688317078E-2</v>
      </c>
      <c r="R9">
        <v>-2.0732669059649152E-2</v>
      </c>
      <c r="S9">
        <v>-1.857717964938382E-2</v>
      </c>
      <c r="T9">
        <v>-1.9497555893430607E-2</v>
      </c>
      <c r="U9">
        <v>-1.8915955073272536E-2</v>
      </c>
    </row>
    <row r="10" spans="1:24">
      <c r="A10" t="s">
        <v>6</v>
      </c>
      <c r="B10">
        <v>-0.13526329030382039</v>
      </c>
      <c r="C10">
        <v>-9.8481572629390168E-2</v>
      </c>
      <c r="D10">
        <v>-5.783799090313789E-2</v>
      </c>
      <c r="E10">
        <v>-4.4651880732419963E-2</v>
      </c>
      <c r="F10">
        <v>-3.6862632990644108E-2</v>
      </c>
      <c r="G10">
        <v>-3.0885528438467872E-2</v>
      </c>
      <c r="H10">
        <v>-2.7897156823432818E-2</v>
      </c>
      <c r="I10">
        <v>-2.6918850865435114E-2</v>
      </c>
      <c r="J10">
        <v>-2.5804124058875871E-2</v>
      </c>
      <c r="K10">
        <v>-2.2011176647256717E-2</v>
      </c>
      <c r="L10">
        <v>-2.0034482811175938E-2</v>
      </c>
      <c r="M10">
        <v>-1.9116594885269376E-2</v>
      </c>
      <c r="N10">
        <v>-1.7796481216422976E-2</v>
      </c>
      <c r="O10">
        <v>-1.6996408592162816E-2</v>
      </c>
      <c r="P10">
        <v>-1.6409312186871385E-2</v>
      </c>
      <c r="Q10">
        <v>-1.6688677704518189E-2</v>
      </c>
      <c r="R10">
        <v>-1.6792986166619246E-2</v>
      </c>
      <c r="S10">
        <v>-1.7141797170701106E-2</v>
      </c>
      <c r="T10">
        <v>-1.8548858683134859E-2</v>
      </c>
      <c r="U10">
        <v>-1.8268041396773283E-2</v>
      </c>
    </row>
  </sheetData>
  <phoneticPr fontId="0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 AA_R_phoamp_ty _1.4A"</f>
        <v xml:space="preserve"> AA_R_phoamp_ty _1.4A</v>
      </c>
      <c r="C1" s="1" t="str">
        <f>" AA_R_phoamp_ty _2A"</f>
        <v xml:space="preserve"> AA_R_phoamp_ty _2A</v>
      </c>
      <c r="D1" s="1" t="str">
        <f>" AA_R_phoamp_ty _3A"</f>
        <v xml:space="preserve"> AA_R_phoamp_ty _3A</v>
      </c>
      <c r="E1" s="1" t="str">
        <f>" AA_R_phoamp_ty _4A"</f>
        <v xml:space="preserve"> AA_R_phoamp_ty _4A</v>
      </c>
      <c r="F1" s="1" t="str">
        <f>" AA_R_phoamp_ty _5A"</f>
        <v xml:space="preserve"> AA_R_phoamp_ty _5A</v>
      </c>
      <c r="G1" s="1" t="str">
        <f>" AA_R_phoamp_ty _6A"</f>
        <v xml:space="preserve"> AA_R_phoamp_ty _6A</v>
      </c>
      <c r="H1" s="1" t="str">
        <f>" AA_R_phoamp_ty _7A"</f>
        <v xml:space="preserve"> AA_R_phoamp_ty _7A</v>
      </c>
      <c r="I1" s="1" t="str">
        <f>" AA_R_phoamp_ty _8A"</f>
        <v xml:space="preserve"> AA_R_phoamp_ty _8A</v>
      </c>
      <c r="J1" s="1" t="str">
        <f>" AA_R_phoamp_ty _9A"</f>
        <v xml:space="preserve"> AA_R_phoamp_ty _9A</v>
      </c>
      <c r="K1" s="1" t="str">
        <f>" AA_R_phoamp_ty _10A"</f>
        <v xml:space="preserve"> AA_R_phoamp_ty _10A</v>
      </c>
      <c r="L1" s="1" t="str">
        <f>" AA_R_phoamp_ty _11A"</f>
        <v xml:space="preserve"> AA_R_phoamp_ty _11A</v>
      </c>
      <c r="M1" s="1" t="str">
        <f>" AA_R_phoamp_ty _12A"</f>
        <v xml:space="preserve"> AA_R_phoamp_ty _12A</v>
      </c>
      <c r="N1" s="1" t="str">
        <f>" AA_R_phoamp_ty _13A"</f>
        <v xml:space="preserve"> AA_R_phoamp_ty _13A</v>
      </c>
      <c r="O1" s="1" t="str">
        <f>" AA_R_phoamp_ty _14A"</f>
        <v xml:space="preserve"> AA_R_phoamp_ty _14A</v>
      </c>
      <c r="P1" s="1" t="str">
        <f>" AA_R_phoamp_ty _15A"</f>
        <v xml:space="preserve"> AA_R_phoamp_ty _15A</v>
      </c>
      <c r="Q1" s="1" t="str">
        <f>" AA_R_phoamp_ty _16A"</f>
        <v xml:space="preserve"> AA_R_phoamp_ty _16A</v>
      </c>
      <c r="R1" s="1" t="str">
        <f>" AA_R_phoamp_ty _17A"</f>
        <v xml:space="preserve"> AA_R_phoamp_ty _17A</v>
      </c>
      <c r="S1" s="1" t="str">
        <f>" AA_R_phoamp_ty _18A"</f>
        <v xml:space="preserve"> AA_R_phoamp_ty _18A</v>
      </c>
      <c r="T1" s="1" t="str">
        <f>" AA_R_phoamp_ty _19A"</f>
        <v xml:space="preserve"> AA_R_phoamp_ty _19A</v>
      </c>
      <c r="U1" s="1" t="str">
        <f>" AA_R_phoamp_ty _20A"</f>
        <v xml:space="preserve"> AA_R_phoamp_ty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-0.14978741283955713</v>
      </c>
      <c r="C3">
        <v>-0.10232686279991215</v>
      </c>
      <c r="D3">
        <v>-5.5523087639428245E-2</v>
      </c>
      <c r="E3">
        <v>-4.0217116141432127E-2</v>
      </c>
      <c r="F3">
        <v>-3.3257980181767371E-2</v>
      </c>
      <c r="G3">
        <v>-2.444916347453591E-2</v>
      </c>
      <c r="H3">
        <v>-2.4295945303214401E-2</v>
      </c>
      <c r="I3">
        <v>-2.3527661972787429E-2</v>
      </c>
      <c r="J3">
        <v>-2.0628957551106036E-2</v>
      </c>
      <c r="K3">
        <v>-1.9630688125838864E-2</v>
      </c>
      <c r="L3">
        <v>-1.9636139482564541E-2</v>
      </c>
      <c r="M3">
        <v>-1.9346961726010962E-2</v>
      </c>
      <c r="N3">
        <v>-1.9193231437576876E-2</v>
      </c>
      <c r="O3">
        <v>-1.9013146943617096E-2</v>
      </c>
      <c r="P3">
        <v>-1.901010480183133E-2</v>
      </c>
      <c r="Q3">
        <v>-1.9021852224005886E-2</v>
      </c>
      <c r="R3">
        <v>-1.6631118306031742E-2</v>
      </c>
      <c r="S3">
        <v>-1.7286857966863085E-2</v>
      </c>
      <c r="T3">
        <v>-1.8240057341553595E-2</v>
      </c>
      <c r="U3">
        <v>-1.8143532952827422E-2</v>
      </c>
    </row>
    <row r="4" spans="1:24">
      <c r="A4" t="s">
        <v>1</v>
      </c>
      <c r="B4">
        <v>-0.15259402805942363</v>
      </c>
      <c r="C4">
        <v>-0.10487808509800699</v>
      </c>
      <c r="D4">
        <v>-5.7347098055625288E-2</v>
      </c>
      <c r="E4">
        <v>-4.0399655127668424E-2</v>
      </c>
      <c r="F4">
        <v>-3.2827922669352944E-2</v>
      </c>
      <c r="G4">
        <v>-2.6387947733044995E-2</v>
      </c>
      <c r="H4">
        <v>-2.4820866521207172E-2</v>
      </c>
      <c r="I4">
        <v>-2.3601392817074733E-2</v>
      </c>
      <c r="J4">
        <v>-2.2143019631606115E-2</v>
      </c>
      <c r="K4">
        <v>-2.1599330290021743E-2</v>
      </c>
      <c r="L4">
        <v>-2.133126833262166E-2</v>
      </c>
      <c r="M4">
        <v>-2.1012933330937209E-2</v>
      </c>
      <c r="N4">
        <v>-1.9312491239557382E-2</v>
      </c>
      <c r="O4">
        <v>-1.8909671362787216E-2</v>
      </c>
      <c r="P4">
        <v>-1.8866183046800721E-2</v>
      </c>
      <c r="Q4">
        <v>-1.8190128086924558E-2</v>
      </c>
      <c r="R4">
        <v>-1.799584239818941E-2</v>
      </c>
      <c r="S4">
        <v>-1.7192544438393118E-2</v>
      </c>
      <c r="T4">
        <v>-1.7327464460743916E-2</v>
      </c>
      <c r="U4">
        <v>-1.7902850605312746E-2</v>
      </c>
    </row>
    <row r="5" spans="1:24">
      <c r="A5" t="s">
        <v>2</v>
      </c>
      <c r="B5">
        <v>-0.14766271070819426</v>
      </c>
      <c r="C5">
        <v>-9.8988317517512955E-2</v>
      </c>
      <c r="D5">
        <v>-5.438386644428695E-2</v>
      </c>
      <c r="E5">
        <v>-4.0060901571196246E-2</v>
      </c>
      <c r="F5">
        <v>-3.2937685307310678E-2</v>
      </c>
      <c r="G5">
        <v>-2.6140680701511852E-2</v>
      </c>
      <c r="H5">
        <v>-2.3610596744348251E-2</v>
      </c>
      <c r="I5">
        <v>-2.158004342116324E-2</v>
      </c>
      <c r="J5">
        <v>-1.9149913105993836E-2</v>
      </c>
      <c r="K5">
        <v>-1.9038439419498357E-2</v>
      </c>
      <c r="L5">
        <v>-1.9652179895938166E-2</v>
      </c>
      <c r="M5">
        <v>-1.9899331903528852E-2</v>
      </c>
      <c r="N5">
        <v>-1.9465391302112629E-2</v>
      </c>
      <c r="O5">
        <v>-2.0292566707849576E-2</v>
      </c>
      <c r="P5">
        <v>-1.9089575610812207E-2</v>
      </c>
      <c r="Q5">
        <v>-1.7968498561676236E-2</v>
      </c>
      <c r="R5">
        <v>-1.8040237522660502E-2</v>
      </c>
      <c r="S5">
        <v>-1.8170430556713382E-2</v>
      </c>
      <c r="T5">
        <v>-1.8889118643612715E-2</v>
      </c>
      <c r="U5">
        <v>-1.9729518207332531E-2</v>
      </c>
    </row>
    <row r="6" spans="1:24">
      <c r="A6" t="s">
        <v>3</v>
      </c>
      <c r="B6">
        <v>-0.14758899782436335</v>
      </c>
      <c r="C6">
        <v>-0.10117023286039338</v>
      </c>
      <c r="D6">
        <v>-5.4860714059896641E-2</v>
      </c>
      <c r="E6">
        <v>-3.9586605731278118E-2</v>
      </c>
      <c r="F6">
        <v>-3.1466728665930692E-2</v>
      </c>
      <c r="G6">
        <v>-2.483248861536631E-2</v>
      </c>
      <c r="H6">
        <v>-2.4425110440727597E-2</v>
      </c>
      <c r="I6">
        <v>-2.1597271175756667E-2</v>
      </c>
      <c r="J6">
        <v>-2.0131883759317681E-2</v>
      </c>
      <c r="K6">
        <v>-1.8982643922755289E-2</v>
      </c>
      <c r="L6">
        <v>-1.9751399915942824E-2</v>
      </c>
      <c r="M6">
        <v>-1.9405559621633647E-2</v>
      </c>
      <c r="N6">
        <v>-1.8516519943527349E-2</v>
      </c>
      <c r="O6">
        <v>-1.8967749860958141E-2</v>
      </c>
      <c r="P6">
        <v>-1.9259603416151062E-2</v>
      </c>
      <c r="Q6">
        <v>-1.8126520629895251E-2</v>
      </c>
      <c r="R6">
        <v>-1.7958868196488443E-2</v>
      </c>
      <c r="S6">
        <v>-1.8514027724015641E-2</v>
      </c>
      <c r="T6">
        <v>-1.8172771330951229E-2</v>
      </c>
      <c r="U6">
        <v>-1.7597441292309324E-2</v>
      </c>
    </row>
    <row r="7" spans="1:24">
      <c r="A7" t="s">
        <v>4</v>
      </c>
      <c r="B7">
        <v>-0.15076899547874631</v>
      </c>
      <c r="C7">
        <v>-0.10281476175421084</v>
      </c>
      <c r="D7">
        <v>-5.7221411940142311E-2</v>
      </c>
      <c r="E7">
        <v>-4.2740749565153176E-2</v>
      </c>
      <c r="F7">
        <v>-3.5112438633174765E-2</v>
      </c>
      <c r="G7">
        <v>-2.8512784897775704E-2</v>
      </c>
      <c r="H7">
        <v>-2.5758136776869597E-2</v>
      </c>
      <c r="I7">
        <v>-2.493661217356196E-2</v>
      </c>
      <c r="J7">
        <v>-2.212752564184961E-2</v>
      </c>
      <c r="K7">
        <v>-2.1947239448561678E-2</v>
      </c>
      <c r="L7">
        <v>-2.1007924827302918E-2</v>
      </c>
      <c r="M7">
        <v>-2.1402104271745999E-2</v>
      </c>
      <c r="N7">
        <v>-1.9929328529968645E-2</v>
      </c>
      <c r="O7">
        <v>-1.9147969976018545E-2</v>
      </c>
      <c r="P7">
        <v>-1.8424539731079805E-2</v>
      </c>
      <c r="Q7">
        <v>-1.8448441880882478E-2</v>
      </c>
      <c r="R7">
        <v>-1.8462439991034026E-2</v>
      </c>
      <c r="S7">
        <v>-1.9083330186052828E-2</v>
      </c>
      <c r="T7">
        <v>-2.0013512995165787E-2</v>
      </c>
      <c r="U7">
        <v>-1.9649552319353204E-2</v>
      </c>
    </row>
    <row r="8" spans="1:24">
      <c r="A8" t="s">
        <v>42</v>
      </c>
      <c r="B8">
        <v>-0.15250548787752483</v>
      </c>
      <c r="C8">
        <v>-0.10643245665858576</v>
      </c>
      <c r="D8">
        <v>-5.9551280052387044E-2</v>
      </c>
      <c r="E8">
        <v>-4.2413534882711906E-2</v>
      </c>
      <c r="F8">
        <v>-3.5512827443613594E-2</v>
      </c>
      <c r="G8">
        <v>-2.8529064081821601E-2</v>
      </c>
      <c r="H8">
        <v>-2.6266870395793059E-2</v>
      </c>
      <c r="I8">
        <v>-2.4705937403860689E-2</v>
      </c>
      <c r="J8">
        <v>-2.2075198863040484E-2</v>
      </c>
      <c r="K8">
        <v>-2.0866004471033553E-2</v>
      </c>
      <c r="L8">
        <v>-1.9149166684565691E-2</v>
      </c>
      <c r="M8">
        <v>-2.0115433799198182E-2</v>
      </c>
      <c r="N8">
        <v>-1.7190215024981862E-2</v>
      </c>
      <c r="O8">
        <v>-1.718791834944302E-2</v>
      </c>
      <c r="P8">
        <v>-1.6423273762706386E-2</v>
      </c>
      <c r="Q8">
        <v>-1.7256015557571981E-2</v>
      </c>
      <c r="R8">
        <v>-1.7783587320393993E-2</v>
      </c>
      <c r="S8">
        <v>-1.7878559693898136E-2</v>
      </c>
      <c r="T8">
        <v>-1.8547239001430321E-2</v>
      </c>
      <c r="U8">
        <v>-1.6999093403280627E-2</v>
      </c>
    </row>
    <row r="9" spans="1:24">
      <c r="A9" t="s">
        <v>5</v>
      </c>
      <c r="B9">
        <v>-0.16306617729401904</v>
      </c>
      <c r="C9">
        <v>-0.11080995065980133</v>
      </c>
      <c r="D9">
        <v>-6.25954607817681E-2</v>
      </c>
      <c r="E9">
        <v>-4.7661409694913968E-2</v>
      </c>
      <c r="F9">
        <v>-3.9303041928352912E-2</v>
      </c>
      <c r="G9">
        <v>-3.2333338670089723E-2</v>
      </c>
      <c r="H9">
        <v>-3.0373322410599618E-2</v>
      </c>
      <c r="I9">
        <v>-2.7520184541572179E-2</v>
      </c>
      <c r="J9">
        <v>-2.7542929965128748E-2</v>
      </c>
      <c r="K9">
        <v>-2.4486188535277339E-2</v>
      </c>
      <c r="L9">
        <v>-2.3243040284226069E-2</v>
      </c>
      <c r="M9">
        <v>-2.166411783441808E-2</v>
      </c>
      <c r="N9">
        <v>-2.0241004006294274E-2</v>
      </c>
      <c r="O9">
        <v>-2.0442601697925913E-2</v>
      </c>
      <c r="P9">
        <v>-2.0455791446534789E-2</v>
      </c>
      <c r="Q9">
        <v>-2.0554837498523271E-2</v>
      </c>
      <c r="R9">
        <v>-2.1171613107669393E-2</v>
      </c>
      <c r="S9">
        <v>-1.8928823809850955E-2</v>
      </c>
      <c r="T9">
        <v>-1.9885270057839289E-2</v>
      </c>
      <c r="U9">
        <v>-1.9280667309889112E-2</v>
      </c>
    </row>
    <row r="10" spans="1:24">
      <c r="A10" t="s">
        <v>6</v>
      </c>
      <c r="B10">
        <v>-0.15642135783890149</v>
      </c>
      <c r="C10">
        <v>-0.10923966681038774</v>
      </c>
      <c r="D10">
        <v>-6.1388583221032494E-2</v>
      </c>
      <c r="E10">
        <v>-4.6738858675570989E-2</v>
      </c>
      <c r="F10">
        <v>-3.8273494782064689E-2</v>
      </c>
      <c r="G10">
        <v>-3.1869845456648775E-2</v>
      </c>
      <c r="H10">
        <v>-2.8697742239157036E-2</v>
      </c>
      <c r="I10">
        <v>-2.766352106335232E-2</v>
      </c>
      <c r="J10">
        <v>-2.6487613729577475E-2</v>
      </c>
      <c r="K10">
        <v>-2.2506572796811682E-2</v>
      </c>
      <c r="L10">
        <v>-2.0444069163420987E-2</v>
      </c>
      <c r="M10">
        <v>-1.9489161286231946E-2</v>
      </c>
      <c r="N10">
        <v>-1.8118934493803553E-2</v>
      </c>
      <c r="O10">
        <v>-1.7290281277427391E-2</v>
      </c>
      <c r="P10">
        <v>-1.6683069888913965E-2</v>
      </c>
      <c r="Q10">
        <v>-1.6971916549846557E-2</v>
      </c>
      <c r="R10">
        <v>-1.7079807131507169E-2</v>
      </c>
      <c r="S10">
        <v>-1.7440763195907583E-2</v>
      </c>
      <c r="T10">
        <v>-1.8899421379496149E-2</v>
      </c>
      <c r="U10">
        <v>-1.8607972610736236E-2</v>
      </c>
    </row>
  </sheetData>
  <phoneticPr fontId="0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"AA_R_phophi_A_1.4A"</f>
        <v>AA_R_phophi_A_1.4A</v>
      </c>
      <c r="C1" s="1" t="str">
        <f>"AA_R_phophi_A_2A"</f>
        <v>AA_R_phophi_A_2A</v>
      </c>
      <c r="D1" s="1" t="str">
        <f>"AA_R_phophi_A_3A"</f>
        <v>AA_R_phophi_A_3A</v>
      </c>
      <c r="E1" s="1" t="str">
        <f>"AA_R_phophi_A_4A"</f>
        <v>AA_R_phophi_A_4A</v>
      </c>
      <c r="F1" s="1" t="str">
        <f>"AA_R_phophi_A_5A"</f>
        <v>AA_R_phophi_A_5A</v>
      </c>
      <c r="G1" s="1" t="str">
        <f>"AA_R_phophi_A_6A"</f>
        <v>AA_R_phophi_A_6A</v>
      </c>
      <c r="H1" s="1" t="str">
        <f>"AA_R_phophi_A_7A"</f>
        <v>AA_R_phophi_A_7A</v>
      </c>
      <c r="I1" s="1" t="str">
        <f>"AA_R_phophi_A_8A"</f>
        <v>AA_R_phophi_A_8A</v>
      </c>
      <c r="J1" s="1" t="str">
        <f>"AA_R_phophi_A_9A"</f>
        <v>AA_R_phophi_A_9A</v>
      </c>
      <c r="K1" s="1" t="str">
        <f>"AA_R_phophi_A_10A"</f>
        <v>AA_R_phophi_A_10A</v>
      </c>
      <c r="L1" s="1" t="str">
        <f>"AA_R_phophi_A_11A"</f>
        <v>AA_R_phophi_A_11A</v>
      </c>
      <c r="M1" s="1" t="str">
        <f>"AA_R_phophi_A_12A"</f>
        <v>AA_R_phophi_A_12A</v>
      </c>
      <c r="N1" s="1" t="str">
        <f>"AA_R_phophi_A_13A"</f>
        <v>AA_R_phophi_A_13A</v>
      </c>
      <c r="O1" s="1" t="str">
        <f>"AA_R_phophi_A_14A"</f>
        <v>AA_R_phophi_A_14A</v>
      </c>
      <c r="P1" s="1" t="str">
        <f>"AA_R_phophi_A_15A"</f>
        <v>AA_R_phophi_A_15A</v>
      </c>
      <c r="Q1" s="1" t="str">
        <f>"AA_R_phophi_A_16A"</f>
        <v>AA_R_phophi_A_16A</v>
      </c>
      <c r="R1" s="1" t="str">
        <f>"AA_R_phophi_A_17A"</f>
        <v>AA_R_phophi_A_17A</v>
      </c>
      <c r="S1" s="1" t="str">
        <f>"AA_R_phophi_A_18A"</f>
        <v>AA_R_phophi_A_18A</v>
      </c>
      <c r="T1" s="1" t="str">
        <f>"AA_R_phophi_A_19A"</f>
        <v>AA_R_phophi_A_19A</v>
      </c>
      <c r="U1" s="1" t="str">
        <f>"AA_R_phophi_A_20A"</f>
        <v>AA_R_phophi_A_20A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0.23752199249678357</v>
      </c>
      <c r="C3">
        <v>0.17185432004600826</v>
      </c>
      <c r="D3">
        <v>0.10269541760612391</v>
      </c>
      <c r="E3">
        <v>7.8012726328918203E-2</v>
      </c>
      <c r="F3">
        <v>6.5448401973834586E-2</v>
      </c>
      <c r="G3">
        <v>5.2510699304502716E-2</v>
      </c>
      <c r="H3">
        <v>5.2477674309470881E-2</v>
      </c>
      <c r="I3">
        <v>5.1061145714038733E-2</v>
      </c>
      <c r="J3">
        <v>4.7560231971559987E-2</v>
      </c>
      <c r="K3">
        <v>4.6152758255846284E-2</v>
      </c>
      <c r="L3">
        <v>4.6636073904519917E-2</v>
      </c>
      <c r="M3">
        <v>4.46414407400028E-2</v>
      </c>
      <c r="N3">
        <v>4.6414956927412529E-2</v>
      </c>
      <c r="O3">
        <v>4.4568798837621701E-2</v>
      </c>
      <c r="P3">
        <v>4.4887922178984276E-2</v>
      </c>
      <c r="Q3">
        <v>4.4583458532501147E-2</v>
      </c>
      <c r="R3">
        <v>3.8680038894682973E-2</v>
      </c>
      <c r="S3">
        <v>3.8838409718663688E-2</v>
      </c>
      <c r="T3">
        <v>3.9736810215449683E-2</v>
      </c>
      <c r="U3">
        <v>3.8816668207697747E-2</v>
      </c>
    </row>
    <row r="4" spans="1:24">
      <c r="A4" t="s">
        <v>1</v>
      </c>
      <c r="B4">
        <v>0.2395062445591796</v>
      </c>
      <c r="C4">
        <v>0.17405626106982308</v>
      </c>
      <c r="D4">
        <v>0.10518558727746824</v>
      </c>
      <c r="E4">
        <v>7.8830760820921303E-2</v>
      </c>
      <c r="F4">
        <v>6.5465394951230493E-2</v>
      </c>
      <c r="G4">
        <v>5.6129043481507691E-2</v>
      </c>
      <c r="H4">
        <v>5.2101684769111589E-2</v>
      </c>
      <c r="I4">
        <v>5.1623838177763552E-2</v>
      </c>
      <c r="J4">
        <v>4.8906791143135411E-2</v>
      </c>
      <c r="K4">
        <v>4.9564802628616567E-2</v>
      </c>
      <c r="L4">
        <v>4.9046002313039114E-2</v>
      </c>
      <c r="M4">
        <v>4.8422540578252356E-2</v>
      </c>
      <c r="N4">
        <v>4.6265922156565296E-2</v>
      </c>
      <c r="O4">
        <v>4.4771791035841821E-2</v>
      </c>
      <c r="P4">
        <v>4.3695265260451609E-2</v>
      </c>
      <c r="Q4">
        <v>4.1492941197899008E-2</v>
      </c>
      <c r="R4">
        <v>4.1370421969631047E-2</v>
      </c>
      <c r="S4">
        <v>3.9258528527001131E-2</v>
      </c>
      <c r="T4">
        <v>3.9123967056057668E-2</v>
      </c>
      <c r="U4">
        <v>3.9598388375704639E-2</v>
      </c>
    </row>
    <row r="5" spans="1:24">
      <c r="A5" t="s">
        <v>2</v>
      </c>
      <c r="B5">
        <v>0.23205090577469334</v>
      </c>
      <c r="C5">
        <v>0.16549900324970243</v>
      </c>
      <c r="D5">
        <v>0.10180492892685994</v>
      </c>
      <c r="E5">
        <v>7.9620691341221128E-2</v>
      </c>
      <c r="F5">
        <v>6.6024347916944351E-2</v>
      </c>
      <c r="G5">
        <v>5.7183510837439666E-2</v>
      </c>
      <c r="H5">
        <v>5.1939279753786656E-2</v>
      </c>
      <c r="I5">
        <v>4.8701410089911912E-2</v>
      </c>
      <c r="J5">
        <v>4.4531444223804249E-2</v>
      </c>
      <c r="K5">
        <v>4.5127535791584947E-2</v>
      </c>
      <c r="L5">
        <v>4.61702010025219E-2</v>
      </c>
      <c r="M5">
        <v>4.6699509853456292E-2</v>
      </c>
      <c r="N5">
        <v>4.7417230765174637E-2</v>
      </c>
      <c r="O5">
        <v>4.928220864765058E-2</v>
      </c>
      <c r="P5">
        <v>4.6078581730319937E-2</v>
      </c>
      <c r="Q5">
        <v>4.3782235706724439E-2</v>
      </c>
      <c r="R5">
        <v>4.4349447611005552E-2</v>
      </c>
      <c r="S5">
        <v>4.2660398149194076E-2</v>
      </c>
      <c r="T5">
        <v>4.273961843697463E-2</v>
      </c>
      <c r="U5">
        <v>4.4201530648558772E-2</v>
      </c>
    </row>
    <row r="6" spans="1:24">
      <c r="A6" t="s">
        <v>3</v>
      </c>
      <c r="B6">
        <v>0.23456081154355904</v>
      </c>
      <c r="C6">
        <v>0.17015020982147905</v>
      </c>
      <c r="D6">
        <v>0.10205376892684193</v>
      </c>
      <c r="E6">
        <v>7.6776145203111504E-2</v>
      </c>
      <c r="F6">
        <v>6.2230774374749227E-2</v>
      </c>
      <c r="G6">
        <v>5.3606431249602814E-2</v>
      </c>
      <c r="H6">
        <v>5.2042637709657801E-2</v>
      </c>
      <c r="I6">
        <v>4.8014694987610011E-2</v>
      </c>
      <c r="J6">
        <v>4.6080914353354825E-2</v>
      </c>
      <c r="K6">
        <v>4.4119254781447022E-2</v>
      </c>
      <c r="L6">
        <v>4.6124494916073601E-2</v>
      </c>
      <c r="M6">
        <v>4.5480487148378504E-2</v>
      </c>
      <c r="N6">
        <v>4.4672139500502188E-2</v>
      </c>
      <c r="O6">
        <v>4.6489602413015842E-2</v>
      </c>
      <c r="P6">
        <v>4.690262880982158E-2</v>
      </c>
      <c r="Q6">
        <v>4.1600323431922839E-2</v>
      </c>
      <c r="R6">
        <v>4.03622792585639E-2</v>
      </c>
      <c r="S6">
        <v>4.0330667602597202E-2</v>
      </c>
      <c r="T6">
        <v>3.9906704460433193E-2</v>
      </c>
      <c r="U6">
        <v>3.823628806644578E-2</v>
      </c>
    </row>
    <row r="7" spans="1:24">
      <c r="A7" t="s">
        <v>4</v>
      </c>
      <c r="B7">
        <v>0.23945654008339398</v>
      </c>
      <c r="C7">
        <v>0.17351565095833493</v>
      </c>
      <c r="D7">
        <v>0.10779396785387498</v>
      </c>
      <c r="E7">
        <v>8.7060784842222946E-2</v>
      </c>
      <c r="F7">
        <v>7.2579917003815053E-2</v>
      </c>
      <c r="G7">
        <v>6.4173484242772125E-2</v>
      </c>
      <c r="H7">
        <v>5.8687656490365586E-2</v>
      </c>
      <c r="I7">
        <v>5.6003377773115703E-2</v>
      </c>
      <c r="J7">
        <v>5.2267483054775153E-2</v>
      </c>
      <c r="K7">
        <v>5.1031622131949061E-2</v>
      </c>
      <c r="L7">
        <v>4.9021920685723093E-2</v>
      </c>
      <c r="M7">
        <v>4.8775248014017857E-2</v>
      </c>
      <c r="N7">
        <v>4.6857869240509047E-2</v>
      </c>
      <c r="O7">
        <v>4.570961142691448E-2</v>
      </c>
      <c r="P7">
        <v>4.5484973637850049E-2</v>
      </c>
      <c r="Q7">
        <v>4.459594514907126E-2</v>
      </c>
      <c r="R7">
        <v>4.4381230439171034E-2</v>
      </c>
      <c r="S7">
        <v>4.561843167211968E-2</v>
      </c>
      <c r="T7">
        <v>4.521672107660233E-2</v>
      </c>
      <c r="U7">
        <v>4.4066465635311233E-2</v>
      </c>
    </row>
    <row r="8" spans="1:24">
      <c r="A8" t="s">
        <v>42</v>
      </c>
      <c r="B8">
        <v>0.24377016315435421</v>
      </c>
      <c r="C8">
        <v>0.18005448033402879</v>
      </c>
      <c r="D8">
        <v>0.11167401618031049</v>
      </c>
      <c r="E8">
        <v>8.5418074935263752E-2</v>
      </c>
      <c r="F8">
        <v>7.2492146082528533E-2</v>
      </c>
      <c r="G8">
        <v>6.3936739617807201E-2</v>
      </c>
      <c r="H8">
        <v>5.8533693098175694E-2</v>
      </c>
      <c r="I8">
        <v>5.6528014779061032E-2</v>
      </c>
      <c r="J8">
        <v>5.2776917666021619E-2</v>
      </c>
      <c r="K8">
        <v>5.0642883809305102E-2</v>
      </c>
      <c r="L8">
        <v>4.637937199365353E-2</v>
      </c>
      <c r="M8">
        <v>4.6875946827957399E-2</v>
      </c>
      <c r="N8">
        <v>4.2739704292811598E-2</v>
      </c>
      <c r="O8">
        <v>4.2075996006392245E-2</v>
      </c>
      <c r="P8">
        <v>3.9925771370991264E-2</v>
      </c>
      <c r="Q8">
        <v>4.1472439889237635E-2</v>
      </c>
      <c r="R8">
        <v>4.2209704723701405E-2</v>
      </c>
      <c r="S8">
        <v>4.0260618065544859E-2</v>
      </c>
      <c r="T8">
        <v>4.0593339252986201E-2</v>
      </c>
      <c r="U8">
        <v>3.7478892142252807E-2</v>
      </c>
    </row>
    <row r="9" spans="1:24">
      <c r="A9" t="s">
        <v>5</v>
      </c>
      <c r="B9">
        <v>0.24877131785313258</v>
      </c>
      <c r="C9">
        <v>0.17920908682245471</v>
      </c>
      <c r="D9">
        <v>0.11069119339063452</v>
      </c>
      <c r="E9">
        <v>8.8851631435836742E-2</v>
      </c>
      <c r="F9">
        <v>7.3211049939972572E-2</v>
      </c>
      <c r="G9">
        <v>6.4421472188030779E-2</v>
      </c>
      <c r="H9">
        <v>5.9813941247626227E-2</v>
      </c>
      <c r="I9">
        <v>5.6166918903323926E-2</v>
      </c>
      <c r="J9">
        <v>5.7981589681685347E-2</v>
      </c>
      <c r="K9">
        <v>5.2492301412516734E-2</v>
      </c>
      <c r="L9">
        <v>5.170918797546907E-2</v>
      </c>
      <c r="M9">
        <v>4.9440374561464197E-2</v>
      </c>
      <c r="N9">
        <v>4.8956287613769474E-2</v>
      </c>
      <c r="O9">
        <v>4.7811992464731931E-2</v>
      </c>
      <c r="P9">
        <v>4.7220256406991068E-2</v>
      </c>
      <c r="Q9">
        <v>4.7044248746841613E-2</v>
      </c>
      <c r="R9">
        <v>4.7787716911134807E-2</v>
      </c>
      <c r="S9">
        <v>4.4219752410851347E-2</v>
      </c>
      <c r="T9">
        <v>4.5109297030440379E-2</v>
      </c>
      <c r="U9">
        <v>4.3657642473474312E-2</v>
      </c>
    </row>
    <row r="10" spans="1:24">
      <c r="A10" t="s">
        <v>6</v>
      </c>
      <c r="B10">
        <v>0.23963044318119103</v>
      </c>
      <c r="C10">
        <v>0.17621126377098029</v>
      </c>
      <c r="D10">
        <v>0.10859134582595344</v>
      </c>
      <c r="E10">
        <v>8.697796790625105E-2</v>
      </c>
      <c r="F10">
        <v>7.2277978592852912E-2</v>
      </c>
      <c r="G10">
        <v>6.3986952132631808E-2</v>
      </c>
      <c r="H10">
        <v>5.8404078303239244E-2</v>
      </c>
      <c r="I10">
        <v>5.5617643823830928E-2</v>
      </c>
      <c r="J10">
        <v>5.5244630968051545E-2</v>
      </c>
      <c r="K10">
        <v>4.9512369701791362E-2</v>
      </c>
      <c r="L10">
        <v>4.8123890185286768E-2</v>
      </c>
      <c r="M10">
        <v>4.6311080497038311E-2</v>
      </c>
      <c r="N10">
        <v>4.5253894189373707E-2</v>
      </c>
      <c r="O10">
        <v>4.2985037992050439E-2</v>
      </c>
      <c r="P10">
        <v>4.1570443935596835E-2</v>
      </c>
      <c r="Q10">
        <v>4.2094753187721858E-2</v>
      </c>
      <c r="R10">
        <v>4.1265934654054502E-2</v>
      </c>
      <c r="S10">
        <v>4.1481031047508728E-2</v>
      </c>
      <c r="T10">
        <v>4.2964261292371547E-2</v>
      </c>
      <c r="U10">
        <v>4.2061126988541211E-2</v>
      </c>
    </row>
  </sheetData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7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"Chg_T_pos_1.4A"</f>
        <v>Chg_T_pos_1.4A</v>
      </c>
      <c r="C1" s="1" t="str">
        <f>"Chg_T_pos_2A"</f>
        <v>Chg_T_pos_2A</v>
      </c>
      <c r="D1" s="1" t="str">
        <f>"Chg_T_pos_3A"</f>
        <v>Chg_T_pos_3A</v>
      </c>
      <c r="E1" s="1" t="str">
        <f>"Chg_T_pos_4A"</f>
        <v>Chg_T_pos_4A</v>
      </c>
      <c r="F1" s="1" t="str">
        <f>"Chg_T_pos_5A"</f>
        <v>Chg_T_pos_5A</v>
      </c>
      <c r="G1" s="1" t="str">
        <f>"Chg_T_pos_6A"</f>
        <v>Chg_T_pos_6A</v>
      </c>
      <c r="H1" s="1" t="str">
        <f>"Chg_T_pos_7A"</f>
        <v>Chg_T_pos_7A</v>
      </c>
      <c r="I1" s="1" t="str">
        <f>"Chg_T_pos_8A"</f>
        <v>Chg_T_pos_8A</v>
      </c>
      <c r="J1" s="1" t="str">
        <f>"Chg_T_pos_9A"</f>
        <v>Chg_T_pos_9A</v>
      </c>
      <c r="K1" s="1" t="str">
        <f>"Chg_T_pos_10A"</f>
        <v>Chg_T_pos_10A</v>
      </c>
      <c r="L1" s="1" t="str">
        <f>"Chg_T_pos_11A"</f>
        <v>Chg_T_pos_11A</v>
      </c>
      <c r="M1" s="1" t="str">
        <f>"Chg_T_pos_12A"</f>
        <v>Chg_T_pos_12A</v>
      </c>
      <c r="N1" s="1" t="str">
        <f>"Chg_T_pos_13A"</f>
        <v>Chg_T_pos_13A</v>
      </c>
      <c r="O1" s="1" t="str">
        <f>"Chg_T_pos_14A"</f>
        <v>Chg_T_pos_14A</v>
      </c>
      <c r="P1" s="1" t="str">
        <f>"Chg_T_pos_15A"</f>
        <v>Chg_T_pos_15A</v>
      </c>
      <c r="Q1" s="1" t="str">
        <f>"Chg_T_pos_16A"</f>
        <v>Chg_T_pos_16A</v>
      </c>
      <c r="R1" s="1" t="str">
        <f>"Chg_T_pos_17A"</f>
        <v>Chg_T_pos_17A</v>
      </c>
      <c r="S1" s="1" t="str">
        <f>"Chg_T_pos_18A"</f>
        <v>Chg_T_pos_18A</v>
      </c>
      <c r="T1" s="1" t="str">
        <f>"Chg_T_pos_19A"</f>
        <v>Chg_T_pos_19A</v>
      </c>
      <c r="U1" s="1" t="str">
        <f>"Chg_T_pos_20A"</f>
        <v>Chg_T_pos_20A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18.274100000000001</v>
      </c>
      <c r="C3">
        <v>14.29973</v>
      </c>
      <c r="D3">
        <v>10.0176</v>
      </c>
      <c r="E3">
        <v>7.2162369999999996</v>
      </c>
      <c r="F3">
        <v>5.6652899999999997</v>
      </c>
      <c r="G3">
        <v>4.6527250000000002</v>
      </c>
      <c r="H3">
        <v>3.9013390000000001</v>
      </c>
      <c r="I3">
        <v>3.4391449999999999</v>
      </c>
      <c r="J3">
        <v>3.0543619999999998</v>
      </c>
      <c r="K3">
        <v>2.7177470000000001</v>
      </c>
      <c r="L3">
        <v>2.4193989999999999</v>
      </c>
      <c r="M3">
        <v>2.224221</v>
      </c>
      <c r="N3">
        <v>2.045185</v>
      </c>
      <c r="O3">
        <v>1.887864</v>
      </c>
      <c r="P3">
        <v>1.761261</v>
      </c>
      <c r="Q3">
        <v>1.6462600000000001</v>
      </c>
      <c r="R3">
        <v>1.5617209999999999</v>
      </c>
      <c r="S3">
        <v>1.48146</v>
      </c>
      <c r="T3">
        <v>1.4123060000000001</v>
      </c>
      <c r="U3">
        <v>1.3508420000000001</v>
      </c>
    </row>
    <row r="4" spans="1:24">
      <c r="A4" t="s">
        <v>1</v>
      </c>
      <c r="B4">
        <v>18.243500000000001</v>
      </c>
      <c r="C4">
        <v>14.261710000000001</v>
      </c>
      <c r="D4">
        <v>10.010809999999999</v>
      </c>
      <c r="E4">
        <v>7.1754819999999997</v>
      </c>
      <c r="F4">
        <v>5.5950030000000002</v>
      </c>
      <c r="G4">
        <v>4.6474489999999999</v>
      </c>
      <c r="H4">
        <v>3.8292480000000002</v>
      </c>
      <c r="I4">
        <v>3.3509669999999998</v>
      </c>
      <c r="J4">
        <v>2.9507829999999999</v>
      </c>
      <c r="K4">
        <v>2.6708349999999998</v>
      </c>
      <c r="L4">
        <v>2.430415</v>
      </c>
      <c r="M4">
        <v>2.2126749999999999</v>
      </c>
      <c r="N4">
        <v>2.0168200000000001</v>
      </c>
      <c r="O4">
        <v>1.906102</v>
      </c>
      <c r="P4">
        <v>1.8053330000000001</v>
      </c>
      <c r="Q4">
        <v>1.68943</v>
      </c>
      <c r="R4">
        <v>1.599356</v>
      </c>
      <c r="S4">
        <v>1.5169710000000001</v>
      </c>
      <c r="T4">
        <v>1.42418</v>
      </c>
      <c r="U4">
        <v>1.3735379999999999</v>
      </c>
    </row>
    <row r="5" spans="1:24">
      <c r="A5" t="s">
        <v>2</v>
      </c>
      <c r="B5">
        <v>16.53237</v>
      </c>
      <c r="C5">
        <v>12.655799999999999</v>
      </c>
      <c r="D5">
        <v>8.7920010000000008</v>
      </c>
      <c r="E5">
        <v>6.2241869999999997</v>
      </c>
      <c r="F5">
        <v>4.8235099999999997</v>
      </c>
      <c r="G5">
        <v>4.0114939999999999</v>
      </c>
      <c r="H5">
        <v>3.4190640000000001</v>
      </c>
      <c r="I5">
        <v>2.935333</v>
      </c>
      <c r="J5">
        <v>2.6078359999999998</v>
      </c>
      <c r="K5">
        <v>2.286816</v>
      </c>
      <c r="L5">
        <v>2.0972789999999999</v>
      </c>
      <c r="M5">
        <v>1.894312</v>
      </c>
      <c r="N5">
        <v>1.7337389999999999</v>
      </c>
      <c r="O5">
        <v>1.638701</v>
      </c>
      <c r="P5">
        <v>1.564727</v>
      </c>
      <c r="Q5">
        <v>1.487986</v>
      </c>
      <c r="R5">
        <v>1.420013</v>
      </c>
      <c r="S5">
        <v>1.3380259999999999</v>
      </c>
      <c r="T5">
        <v>1.2865549999999999</v>
      </c>
      <c r="U5">
        <v>1.21591</v>
      </c>
    </row>
    <row r="6" spans="1:24">
      <c r="A6" t="s">
        <v>3</v>
      </c>
      <c r="B6">
        <v>18.204149999999998</v>
      </c>
      <c r="C6">
        <v>14.33039</v>
      </c>
      <c r="D6">
        <v>9.9924909999999993</v>
      </c>
      <c r="E6">
        <v>7.1220509999999999</v>
      </c>
      <c r="F6">
        <v>5.5671010000000001</v>
      </c>
      <c r="G6">
        <v>4.6191560000000003</v>
      </c>
      <c r="H6">
        <v>3.8642020000000001</v>
      </c>
      <c r="I6">
        <v>3.400461</v>
      </c>
      <c r="J6">
        <v>3.0406580000000001</v>
      </c>
      <c r="K6">
        <v>2.6787830000000001</v>
      </c>
      <c r="L6">
        <v>2.4101460000000001</v>
      </c>
      <c r="M6">
        <v>2.2089940000000001</v>
      </c>
      <c r="N6">
        <v>2.0286029999999999</v>
      </c>
      <c r="O6">
        <v>1.9082220000000001</v>
      </c>
      <c r="P6">
        <v>1.813299</v>
      </c>
      <c r="Q6">
        <v>1.676887</v>
      </c>
      <c r="R6">
        <v>1.546133</v>
      </c>
      <c r="S6">
        <v>1.459211</v>
      </c>
      <c r="T6">
        <v>1.417144</v>
      </c>
      <c r="U6">
        <v>1.3660289999999999</v>
      </c>
    </row>
    <row r="7" spans="1:24">
      <c r="A7" t="s">
        <v>4</v>
      </c>
      <c r="B7">
        <v>16.936969999999999</v>
      </c>
      <c r="C7">
        <v>12.883279999999999</v>
      </c>
      <c r="D7">
        <v>8.8712619999999998</v>
      </c>
      <c r="E7">
        <v>6.3744959999999997</v>
      </c>
      <c r="F7">
        <v>4.9660359999999999</v>
      </c>
      <c r="G7">
        <v>4.1683490000000001</v>
      </c>
      <c r="H7">
        <v>3.4443000000000001</v>
      </c>
      <c r="I7">
        <v>3.1099969999999999</v>
      </c>
      <c r="J7">
        <v>2.6971579999999999</v>
      </c>
      <c r="K7">
        <v>2.382104</v>
      </c>
      <c r="L7">
        <v>2.1553719999999998</v>
      </c>
      <c r="M7">
        <v>1.9781500000000001</v>
      </c>
      <c r="N7">
        <v>1.8027029999999999</v>
      </c>
      <c r="O7">
        <v>1.680213</v>
      </c>
      <c r="P7">
        <v>1.562073</v>
      </c>
      <c r="Q7">
        <v>1.4863919999999999</v>
      </c>
      <c r="R7">
        <v>1.3857010000000001</v>
      </c>
      <c r="S7">
        <v>1.3199369999999999</v>
      </c>
      <c r="T7">
        <v>1.241055</v>
      </c>
      <c r="U7">
        <v>1.187133</v>
      </c>
    </row>
    <row r="8" spans="1:24">
      <c r="A8" t="s">
        <v>42</v>
      </c>
      <c r="B8">
        <v>18.145849999999999</v>
      </c>
      <c r="C8">
        <v>14.162229999999999</v>
      </c>
      <c r="D8">
        <v>9.9198590000000006</v>
      </c>
      <c r="E8">
        <v>7.1504799999999999</v>
      </c>
      <c r="F8">
        <v>5.6495040000000003</v>
      </c>
      <c r="G8">
        <v>4.6120380000000001</v>
      </c>
      <c r="H8">
        <v>3.817399</v>
      </c>
      <c r="I8">
        <v>3.312897</v>
      </c>
      <c r="J8">
        <v>2.9762369999999998</v>
      </c>
      <c r="K8">
        <v>2.6986789999999998</v>
      </c>
      <c r="L8">
        <v>2.4612479999999999</v>
      </c>
      <c r="M8">
        <v>2.2591939999999999</v>
      </c>
      <c r="N8">
        <v>2.0905740000000002</v>
      </c>
      <c r="O8">
        <v>1.96261</v>
      </c>
      <c r="P8">
        <v>1.779666</v>
      </c>
      <c r="Q8">
        <v>1.6333610000000001</v>
      </c>
      <c r="R8">
        <v>1.5676810000000001</v>
      </c>
      <c r="S8">
        <v>1.451676</v>
      </c>
      <c r="T8">
        <v>1.3879509999999999</v>
      </c>
      <c r="U8">
        <v>1.344832</v>
      </c>
    </row>
    <row r="9" spans="1:24">
      <c r="A9" t="s">
        <v>5</v>
      </c>
      <c r="B9">
        <v>17.076029999999999</v>
      </c>
      <c r="C9">
        <v>13.02605</v>
      </c>
      <c r="D9">
        <v>8.6801150000000007</v>
      </c>
      <c r="E9">
        <v>6.0663629999999999</v>
      </c>
      <c r="F9">
        <v>4.6855869999999999</v>
      </c>
      <c r="G9">
        <v>3.8339500000000002</v>
      </c>
      <c r="H9">
        <v>3.301183</v>
      </c>
      <c r="I9">
        <v>2.8337180000000002</v>
      </c>
      <c r="J9">
        <v>2.4861369999999998</v>
      </c>
      <c r="K9">
        <v>2.2005180000000002</v>
      </c>
      <c r="L9">
        <v>2.0276209999999999</v>
      </c>
      <c r="M9">
        <v>1.848735</v>
      </c>
      <c r="N9">
        <v>1.7291570000000001</v>
      </c>
      <c r="O9">
        <v>1.6070549999999999</v>
      </c>
      <c r="P9">
        <v>1.475754</v>
      </c>
      <c r="Q9">
        <v>1.385999</v>
      </c>
      <c r="R9">
        <v>1.3041640000000001</v>
      </c>
      <c r="S9">
        <v>1.2119439999999999</v>
      </c>
      <c r="T9">
        <v>1.156714</v>
      </c>
      <c r="U9">
        <v>1.127429</v>
      </c>
    </row>
    <row r="10" spans="1:24">
      <c r="A10" t="s">
        <v>6</v>
      </c>
      <c r="B10">
        <v>17.034870000000002</v>
      </c>
      <c r="C10">
        <v>13.17498</v>
      </c>
      <c r="D10">
        <v>9.2099899999999995</v>
      </c>
      <c r="E10">
        <v>6.675141</v>
      </c>
      <c r="F10">
        <v>5.2685310000000003</v>
      </c>
      <c r="G10">
        <v>4.3819629999999998</v>
      </c>
      <c r="H10">
        <v>3.699678</v>
      </c>
      <c r="I10">
        <v>3.200628</v>
      </c>
      <c r="J10">
        <v>2.9098109999999999</v>
      </c>
      <c r="K10">
        <v>2.6503040000000002</v>
      </c>
      <c r="L10">
        <v>2.401484</v>
      </c>
      <c r="M10">
        <v>2.1967660000000002</v>
      </c>
      <c r="N10">
        <v>2.028559</v>
      </c>
      <c r="O10">
        <v>1.893967</v>
      </c>
      <c r="P10">
        <v>1.7591619999999999</v>
      </c>
      <c r="Q10">
        <v>1.59924</v>
      </c>
      <c r="R10">
        <v>1.5212330000000001</v>
      </c>
      <c r="S10">
        <v>1.4363360000000001</v>
      </c>
      <c r="T10">
        <v>1.3651120000000001</v>
      </c>
      <c r="U10">
        <v>1.314111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X10"/>
  <sheetViews>
    <sheetView workbookViewId="0">
      <selection activeCell="A8" sqref="A8"/>
    </sheetView>
  </sheetViews>
  <sheetFormatPr defaultRowHeight="15"/>
  <sheetData>
    <row r="1" spans="1:24">
      <c r="A1" s="1"/>
      <c r="B1" s="1" t="str">
        <f>"AA_T_pho_ty_1.4A"</f>
        <v>AA_T_pho_ty_1.4A</v>
      </c>
      <c r="C1" s="1" t="str">
        <f>"AA_T_pho_ty_2A"</f>
        <v>AA_T_pho_ty_2A</v>
      </c>
      <c r="D1" s="1" t="str">
        <f>"AA_T_pho_ty_3A"</f>
        <v>AA_T_pho_ty_3A</v>
      </c>
      <c r="E1" s="1" t="str">
        <f>"AA_T_pho_ty_4A"</f>
        <v>AA_T_pho_ty_4A</v>
      </c>
      <c r="F1" s="1" t="str">
        <f>"AA_T_pho_ty_5A"</f>
        <v>AA_T_pho_ty_5A</v>
      </c>
      <c r="G1" s="1" t="str">
        <f>"AA_T_pho_ty_6A"</f>
        <v>AA_T_pho_ty_6A</v>
      </c>
      <c r="H1" s="1" t="str">
        <f>"AA_T_pho_ty_7A"</f>
        <v>AA_T_pho_ty_7A</v>
      </c>
      <c r="I1" s="1" t="str">
        <f>"AA_T_pho_ty_8A"</f>
        <v>AA_T_pho_ty_8A</v>
      </c>
      <c r="J1" s="1" t="str">
        <f>"AA_T_pho_ty_9A"</f>
        <v>AA_T_pho_ty_9A</v>
      </c>
      <c r="K1" s="1" t="str">
        <f>"AA_T_pho_ty_10A"</f>
        <v>AA_T_pho_ty_10A</v>
      </c>
      <c r="L1" s="1" t="str">
        <f>"AA_T_pho_ty_11A"</f>
        <v>AA_T_pho_ty_11A</v>
      </c>
      <c r="M1" s="1" t="str">
        <f>"AA_T_pho_ty_12A"</f>
        <v>AA_T_pho_ty_12A</v>
      </c>
      <c r="N1" s="1" t="str">
        <f>"AA_T_pho_ty_13A"</f>
        <v>AA_T_pho_ty_13A</v>
      </c>
      <c r="O1" s="1" t="str">
        <f>"AA_T_pho_ty_14A"</f>
        <v>AA_T_pho_ty_14A</v>
      </c>
      <c r="P1" s="1" t="str">
        <f>"AA_T_pho_ty_15A"</f>
        <v>AA_T_pho_ty_15A</v>
      </c>
      <c r="Q1" s="1" t="str">
        <f>"AA_T_pho_ty_16A"</f>
        <v>AA_T_pho_ty_16A</v>
      </c>
      <c r="R1" s="1" t="str">
        <f>"AA_T_pho_ty_17A"</f>
        <v>AA_T_pho_ty_17A</v>
      </c>
      <c r="S1" s="1" t="str">
        <f>"AA_T_pho_ty_18A"</f>
        <v>AA_T_pho_ty_18A</v>
      </c>
      <c r="T1" s="1" t="str">
        <f>"AA_T_pho_ty_19A"</f>
        <v>AA_T_pho_ty_19A</v>
      </c>
      <c r="U1" s="1" t="str">
        <f>"AA_T_pho_ty_20A"</f>
        <v>AA_T_pho_ty_20A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-20.455390000000001</v>
      </c>
      <c r="C3">
        <v>-10.10633</v>
      </c>
      <c r="D3">
        <v>-3.4618890000000002</v>
      </c>
      <c r="E3">
        <v>-1.6866890000000001</v>
      </c>
      <c r="F3">
        <v>-1.0435110000000001</v>
      </c>
      <c r="G3">
        <v>-0.6055739</v>
      </c>
      <c r="H3">
        <v>-0.49883119999999997</v>
      </c>
      <c r="I3">
        <v>-0.40799839999999998</v>
      </c>
      <c r="J3">
        <v>-0.31368869999999999</v>
      </c>
      <c r="K3">
        <v>-0.26087660000000001</v>
      </c>
      <c r="L3">
        <v>-0.25289030000000001</v>
      </c>
      <c r="M3">
        <v>-0.2232297</v>
      </c>
      <c r="N3">
        <v>-0.19980490000000001</v>
      </c>
      <c r="O3">
        <v>-0.18044879999999999</v>
      </c>
      <c r="P3">
        <v>-0.16676450000000001</v>
      </c>
      <c r="Q3">
        <v>-0.15539819999999999</v>
      </c>
      <c r="R3">
        <v>-0.12570290000000001</v>
      </c>
      <c r="S3">
        <v>-0.1234431</v>
      </c>
      <c r="T3">
        <v>-0.1210084</v>
      </c>
      <c r="U3">
        <v>-0.1154448</v>
      </c>
    </row>
    <row r="4" spans="1:24">
      <c r="A4" t="s">
        <v>1</v>
      </c>
      <c r="B4">
        <v>-20.759740000000001</v>
      </c>
      <c r="C4">
        <v>-10.28342</v>
      </c>
      <c r="D4">
        <v>-3.5688710000000001</v>
      </c>
      <c r="E4">
        <v>-1.6877610000000001</v>
      </c>
      <c r="F4">
        <v>-1.029563</v>
      </c>
      <c r="G4">
        <v>-0.65205040000000003</v>
      </c>
      <c r="H4">
        <v>-0.50719879999999995</v>
      </c>
      <c r="I4">
        <v>-0.40766669999999999</v>
      </c>
      <c r="J4">
        <v>-0.33774579999999998</v>
      </c>
      <c r="K4">
        <v>-0.28397810000000001</v>
      </c>
      <c r="L4">
        <v>-0.26904040000000001</v>
      </c>
      <c r="M4">
        <v>-0.24157219999999999</v>
      </c>
      <c r="N4">
        <v>-0.2016163</v>
      </c>
      <c r="O4">
        <v>-0.18185770000000001</v>
      </c>
      <c r="P4">
        <v>-0.17026849999999999</v>
      </c>
      <c r="Q4">
        <v>-0.15314030000000001</v>
      </c>
      <c r="R4">
        <v>-0.13851459999999999</v>
      </c>
      <c r="S4">
        <v>-0.1269412</v>
      </c>
      <c r="T4">
        <v>-0.1183269</v>
      </c>
      <c r="U4">
        <v>-0.11463379999999999</v>
      </c>
    </row>
    <row r="5" spans="1:24">
      <c r="A5" t="s">
        <v>2</v>
      </c>
      <c r="B5">
        <v>-19.66555</v>
      </c>
      <c r="C5">
        <v>-9.5884129999999992</v>
      </c>
      <c r="D5">
        <v>-3.3747159999999998</v>
      </c>
      <c r="E5">
        <v>-1.672437</v>
      </c>
      <c r="F5">
        <v>-1.0245740000000001</v>
      </c>
      <c r="G5">
        <v>-0.65184059999999999</v>
      </c>
      <c r="H5">
        <v>-0.48954760000000003</v>
      </c>
      <c r="I5">
        <v>-0.37926779999999999</v>
      </c>
      <c r="J5">
        <v>-0.29458079999999998</v>
      </c>
      <c r="K5">
        <v>-0.2506543</v>
      </c>
      <c r="L5">
        <v>-0.24718290000000001</v>
      </c>
      <c r="M5">
        <v>-0.2296233</v>
      </c>
      <c r="N5">
        <v>-0.2020391</v>
      </c>
      <c r="O5">
        <v>-0.19195110000000001</v>
      </c>
      <c r="P5">
        <v>-0.16952020000000001</v>
      </c>
      <c r="Q5">
        <v>-0.1506247</v>
      </c>
      <c r="R5">
        <v>-0.1371945</v>
      </c>
      <c r="S5">
        <v>-0.13053989999999999</v>
      </c>
      <c r="T5">
        <v>-0.1286014</v>
      </c>
      <c r="U5">
        <v>-0.1267441</v>
      </c>
    </row>
    <row r="6" spans="1:24">
      <c r="A6" t="s">
        <v>3</v>
      </c>
      <c r="B6">
        <v>-20.332830000000001</v>
      </c>
      <c r="C6">
        <v>-10.10697</v>
      </c>
      <c r="D6">
        <v>-3.462799</v>
      </c>
      <c r="E6">
        <v>-1.6737379999999999</v>
      </c>
      <c r="F6">
        <v>-0.99541610000000003</v>
      </c>
      <c r="G6">
        <v>-0.62036049999999998</v>
      </c>
      <c r="H6">
        <v>-0.50241440000000004</v>
      </c>
      <c r="I6">
        <v>-0.3822816</v>
      </c>
      <c r="J6">
        <v>-0.31148759999999998</v>
      </c>
      <c r="K6">
        <v>-0.25236019999999998</v>
      </c>
      <c r="L6">
        <v>-0.25221830000000001</v>
      </c>
      <c r="M6">
        <v>-0.22490109999999999</v>
      </c>
      <c r="N6">
        <v>-0.19447629999999999</v>
      </c>
      <c r="O6">
        <v>-0.180344</v>
      </c>
      <c r="P6">
        <v>-0.1704386</v>
      </c>
      <c r="Q6">
        <v>-0.1502455</v>
      </c>
      <c r="R6">
        <v>-0.1332535</v>
      </c>
      <c r="S6">
        <v>-0.13119990000000001</v>
      </c>
      <c r="T6">
        <v>-0.1206851</v>
      </c>
      <c r="U6">
        <v>-0.111272</v>
      </c>
    </row>
    <row r="7" spans="1:24">
      <c r="A7" t="s">
        <v>4</v>
      </c>
      <c r="B7">
        <v>-20.03171</v>
      </c>
      <c r="C7">
        <v>-9.9358769999999996</v>
      </c>
      <c r="D7">
        <v>-3.4995699999999998</v>
      </c>
      <c r="E7">
        <v>-1.7884949999999999</v>
      </c>
      <c r="F7">
        <v>-1.1074980000000001</v>
      </c>
      <c r="G7">
        <v>-0.70822410000000002</v>
      </c>
      <c r="H7">
        <v>-0.52412590000000003</v>
      </c>
      <c r="I7">
        <v>-0.43174489999999999</v>
      </c>
      <c r="J7">
        <v>-0.3369238</v>
      </c>
      <c r="K7">
        <v>-0.28774660000000002</v>
      </c>
      <c r="L7">
        <v>-0.26663150000000002</v>
      </c>
      <c r="M7">
        <v>-0.2478245</v>
      </c>
      <c r="N7">
        <v>-0.2083402</v>
      </c>
      <c r="O7">
        <v>-0.1831219</v>
      </c>
      <c r="P7">
        <v>-0.16549159999999999</v>
      </c>
      <c r="Q7">
        <v>-0.156338</v>
      </c>
      <c r="R7">
        <v>-0.14062469999999999</v>
      </c>
      <c r="S7">
        <v>-0.1387516</v>
      </c>
      <c r="T7">
        <v>-0.1351879</v>
      </c>
      <c r="U7">
        <v>-0.12614069999999999</v>
      </c>
    </row>
    <row r="8" spans="1:24">
      <c r="A8" t="s">
        <v>42</v>
      </c>
      <c r="B8">
        <v>-20.698329999999999</v>
      </c>
      <c r="C8">
        <v>-10.4489</v>
      </c>
      <c r="D8">
        <v>-3.697276</v>
      </c>
      <c r="E8">
        <v>-1.777161</v>
      </c>
      <c r="F8">
        <v>-1.114781</v>
      </c>
      <c r="G8">
        <v>-0.71003019999999994</v>
      </c>
      <c r="H8">
        <v>-0.53981939999999995</v>
      </c>
      <c r="I8">
        <v>-0.43188799999999999</v>
      </c>
      <c r="J8">
        <v>-0.33931080000000002</v>
      </c>
      <c r="K8">
        <v>-0.27556920000000001</v>
      </c>
      <c r="L8">
        <v>-0.24249799999999999</v>
      </c>
      <c r="M8">
        <v>-0.22973150000000001</v>
      </c>
      <c r="N8">
        <v>-0.17803620000000001</v>
      </c>
      <c r="O8">
        <v>-0.16463559999999999</v>
      </c>
      <c r="P8">
        <v>-0.1459512</v>
      </c>
      <c r="Q8">
        <v>-0.14314789999999999</v>
      </c>
      <c r="R8">
        <v>-0.1343741</v>
      </c>
      <c r="S8">
        <v>-0.12673899999999999</v>
      </c>
      <c r="T8">
        <v>-0.122125</v>
      </c>
      <c r="U8">
        <v>-0.1070538</v>
      </c>
    </row>
    <row r="9" spans="1:24">
      <c r="A9" t="s">
        <v>5</v>
      </c>
      <c r="B9">
        <v>-21.17202</v>
      </c>
      <c r="C9">
        <v>-10.515000000000001</v>
      </c>
      <c r="D9">
        <v>-3.7633770000000002</v>
      </c>
      <c r="E9">
        <v>-1.9602390000000001</v>
      </c>
      <c r="F9">
        <v>-1.2064379999999999</v>
      </c>
      <c r="G9">
        <v>-0.79206259999999995</v>
      </c>
      <c r="H9">
        <v>-0.61461849999999996</v>
      </c>
      <c r="I9">
        <v>-0.47044530000000001</v>
      </c>
      <c r="J9">
        <v>-0.4155895</v>
      </c>
      <c r="K9">
        <v>-0.31841700000000001</v>
      </c>
      <c r="L9">
        <v>-0.29629949999999999</v>
      </c>
      <c r="M9">
        <v>-0.24769040000000001</v>
      </c>
      <c r="N9">
        <v>-0.2088894</v>
      </c>
      <c r="O9">
        <v>-0.1912962</v>
      </c>
      <c r="P9">
        <v>-0.17769460000000001</v>
      </c>
      <c r="Q9">
        <v>-0.16986609999999999</v>
      </c>
      <c r="R9">
        <v>-0.15991910000000001</v>
      </c>
      <c r="S9">
        <v>-0.1347043</v>
      </c>
      <c r="T9">
        <v>-0.13264780000000001</v>
      </c>
      <c r="U9">
        <v>-0.1233496</v>
      </c>
    </row>
    <row r="10" spans="1:24">
      <c r="A10" t="s">
        <v>6</v>
      </c>
      <c r="B10">
        <v>-20.699950000000001</v>
      </c>
      <c r="C10">
        <v>-10.47645</v>
      </c>
      <c r="D10">
        <v>-3.7582230000000001</v>
      </c>
      <c r="E10">
        <v>-1.9340980000000001</v>
      </c>
      <c r="F10">
        <v>-1.1966300000000001</v>
      </c>
      <c r="G10">
        <v>-0.7883945</v>
      </c>
      <c r="H10">
        <v>-0.58440080000000005</v>
      </c>
      <c r="I10">
        <v>-0.47616190000000003</v>
      </c>
      <c r="J10">
        <v>-0.40568959999999998</v>
      </c>
      <c r="K10">
        <v>-0.29828379999999999</v>
      </c>
      <c r="L10">
        <v>-0.26290210000000003</v>
      </c>
      <c r="M10">
        <v>-0.2264137</v>
      </c>
      <c r="N10">
        <v>-0.1911052</v>
      </c>
      <c r="O10">
        <v>-0.16636699999999999</v>
      </c>
      <c r="P10">
        <v>-0.1491265</v>
      </c>
      <c r="Q10">
        <v>-0.1409107</v>
      </c>
      <c r="R10">
        <v>-0.12996269999999999</v>
      </c>
      <c r="S10">
        <v>-0.12558659999999999</v>
      </c>
      <c r="T10">
        <v>-0.1271658</v>
      </c>
      <c r="U10">
        <v>-0.1179572</v>
      </c>
    </row>
  </sheetData>
  <phoneticPr fontId="0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8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"Chg_pos_A_1.4A"</f>
        <v>Chg_pos_A_1.4A</v>
      </c>
      <c r="C1" s="1" t="str">
        <f>"Chg_pos_A_2A"</f>
        <v>Chg_pos_A_2A</v>
      </c>
      <c r="D1" s="1" t="str">
        <f>"Chg_pos_A_3A"</f>
        <v>Chg_pos_A_3A</v>
      </c>
      <c r="E1" s="1" t="str">
        <f>"Chg_pos_A_4A"</f>
        <v>Chg_pos_A_4A</v>
      </c>
      <c r="F1" s="1" t="str">
        <f>"Chg_pos_A_5A"</f>
        <v>Chg_pos_A_5A</v>
      </c>
      <c r="G1" s="1" t="str">
        <f>"Chg_pos_A_6A"</f>
        <v>Chg_pos_A_6A</v>
      </c>
      <c r="H1" s="1" t="str">
        <f>"Chg_pos_A_7A"</f>
        <v>Chg_pos_A_7A</v>
      </c>
      <c r="I1" s="1" t="str">
        <f>"Chg_pos_A_8A"</f>
        <v>Chg_pos_A_8A</v>
      </c>
      <c r="J1" s="1" t="str">
        <f>"Chg_pos_A_9A"</f>
        <v>Chg_pos_A_9A</v>
      </c>
      <c r="K1" s="1" t="str">
        <f>"Chg_pos_A_10A"</f>
        <v>Chg_pos_A_10A</v>
      </c>
      <c r="L1" s="1" t="str">
        <f>"Chg_pos_A_11A"</f>
        <v>Chg_pos_A_11A</v>
      </c>
      <c r="M1" s="1" t="str">
        <f>"Chg_pos_A_12A"</f>
        <v>Chg_pos_A_12A</v>
      </c>
      <c r="N1" s="1" t="str">
        <f>"Chg_pos_A_13A"</f>
        <v>Chg_pos_A_13A</v>
      </c>
      <c r="O1" s="1" t="str">
        <f>"Chg_pos_A_14A"</f>
        <v>Chg_pos_A_14A</v>
      </c>
      <c r="P1" s="1" t="str">
        <f>"Chg_pos_A_15A"</f>
        <v>Chg_pos_A_15A</v>
      </c>
      <c r="Q1" s="1" t="str">
        <f>"Chg_pos_A_16A"</f>
        <v>Chg_pos_A_16A</v>
      </c>
      <c r="R1" s="1" t="str">
        <f>"Chg_pos_A_17A"</f>
        <v>Chg_pos_A_17A</v>
      </c>
      <c r="S1" s="1" t="str">
        <f>"Chg_pos_A_18A"</f>
        <v>Chg_pos_A_18A</v>
      </c>
      <c r="T1" s="1" t="str">
        <f>"Chg_pos_A_19A"</f>
        <v>Chg_pos_A_19A</v>
      </c>
      <c r="U1" s="1" t="str">
        <f>"Chg_pos_A_20A"</f>
        <v>Chg_pos_A_20A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1517.9570000000001</v>
      </c>
      <c r="C3">
        <v>1062.913</v>
      </c>
      <c r="D3">
        <v>686.97940000000006</v>
      </c>
      <c r="E3">
        <v>482.68779999999998</v>
      </c>
      <c r="F3">
        <v>375.07870000000003</v>
      </c>
      <c r="G3">
        <v>303.4563</v>
      </c>
      <c r="H3">
        <v>252.691</v>
      </c>
      <c r="I3">
        <v>218.79169999999999</v>
      </c>
      <c r="J3">
        <v>192.0343</v>
      </c>
      <c r="K3">
        <v>172.2304</v>
      </c>
      <c r="L3">
        <v>154.79490000000001</v>
      </c>
      <c r="M3">
        <v>140.96190000000001</v>
      </c>
      <c r="N3">
        <v>127.892</v>
      </c>
      <c r="O3">
        <v>116.8331</v>
      </c>
      <c r="P3">
        <v>106.7071</v>
      </c>
      <c r="Q3">
        <v>99.345039999999997</v>
      </c>
      <c r="R3">
        <v>93.50806</v>
      </c>
      <c r="S3">
        <v>88.180080000000004</v>
      </c>
      <c r="T3">
        <v>85.008009999999999</v>
      </c>
      <c r="U3">
        <v>83.26097</v>
      </c>
    </row>
    <row r="4" spans="1:24">
      <c r="A4" t="s">
        <v>1</v>
      </c>
      <c r="B4">
        <v>1523.163</v>
      </c>
      <c r="C4">
        <v>1057.0719999999999</v>
      </c>
      <c r="D4">
        <v>686.65970000000004</v>
      </c>
      <c r="E4">
        <v>481.87099999999998</v>
      </c>
      <c r="F4">
        <v>370.673</v>
      </c>
      <c r="G4">
        <v>304.7158</v>
      </c>
      <c r="H4">
        <v>249.3058</v>
      </c>
      <c r="I4">
        <v>214.7868</v>
      </c>
      <c r="J4">
        <v>188.3391</v>
      </c>
      <c r="K4">
        <v>168.73560000000001</v>
      </c>
      <c r="L4">
        <v>151.35390000000001</v>
      </c>
      <c r="M4">
        <v>137.80199999999999</v>
      </c>
      <c r="N4">
        <v>125.688</v>
      </c>
      <c r="O4">
        <v>115.992</v>
      </c>
      <c r="P4">
        <v>108.4391</v>
      </c>
      <c r="Q4">
        <v>101.35509999999999</v>
      </c>
      <c r="R4">
        <v>95.785070000000005</v>
      </c>
      <c r="S4">
        <v>90.623019999999997</v>
      </c>
      <c r="T4">
        <v>85.963949999999997</v>
      </c>
      <c r="U4">
        <v>83.400940000000006</v>
      </c>
    </row>
    <row r="5" spans="1:24">
      <c r="A5" t="s">
        <v>2</v>
      </c>
      <c r="B5">
        <v>1421.826</v>
      </c>
      <c r="C5">
        <v>985.77200000000005</v>
      </c>
      <c r="D5">
        <v>653.27719999999999</v>
      </c>
      <c r="E5">
        <v>464.15710000000001</v>
      </c>
      <c r="F5">
        <v>360.2466</v>
      </c>
      <c r="G5">
        <v>295.60399999999998</v>
      </c>
      <c r="H5">
        <v>245.3528</v>
      </c>
      <c r="I5">
        <v>209.07939999999999</v>
      </c>
      <c r="J5">
        <v>183.54669999999999</v>
      </c>
      <c r="K5">
        <v>161.16380000000001</v>
      </c>
      <c r="L5">
        <v>145.517</v>
      </c>
      <c r="M5">
        <v>132.4478</v>
      </c>
      <c r="N5">
        <v>121.9679</v>
      </c>
      <c r="O5">
        <v>113.708</v>
      </c>
      <c r="P5">
        <v>108.218</v>
      </c>
      <c r="Q5">
        <v>101.822</v>
      </c>
      <c r="R5">
        <v>95.75103</v>
      </c>
      <c r="S5">
        <v>88.762039999999999</v>
      </c>
      <c r="T5">
        <v>85.043940000000006</v>
      </c>
      <c r="U5">
        <v>81.723929999999996</v>
      </c>
    </row>
    <row r="6" spans="1:24">
      <c r="A6" t="s">
        <v>3</v>
      </c>
      <c r="B6">
        <v>1514.028</v>
      </c>
      <c r="C6">
        <v>1062.6510000000001</v>
      </c>
      <c r="D6">
        <v>690.59339999999997</v>
      </c>
      <c r="E6">
        <v>482.99889999999999</v>
      </c>
      <c r="F6">
        <v>372.09379999999999</v>
      </c>
      <c r="G6">
        <v>301.41649999999998</v>
      </c>
      <c r="H6">
        <v>248.9906</v>
      </c>
      <c r="I6">
        <v>214.84200000000001</v>
      </c>
      <c r="J6">
        <v>189.9641</v>
      </c>
      <c r="K6">
        <v>170.30459999999999</v>
      </c>
      <c r="L6">
        <v>154.32980000000001</v>
      </c>
      <c r="M6">
        <v>139.3758</v>
      </c>
      <c r="N6">
        <v>126.79600000000001</v>
      </c>
      <c r="O6">
        <v>116.40009999999999</v>
      </c>
      <c r="P6">
        <v>108.592</v>
      </c>
      <c r="Q6">
        <v>99.905050000000003</v>
      </c>
      <c r="R6">
        <v>93.175030000000007</v>
      </c>
      <c r="S6">
        <v>88.481039999999993</v>
      </c>
      <c r="T6">
        <v>85.570009999999996</v>
      </c>
      <c r="U6">
        <v>83.941999999999993</v>
      </c>
    </row>
    <row r="7" spans="1:24">
      <c r="A7" t="s">
        <v>4</v>
      </c>
      <c r="B7">
        <v>1430.9670000000001</v>
      </c>
      <c r="C7">
        <v>996.07249999999999</v>
      </c>
      <c r="D7">
        <v>643.84469999999999</v>
      </c>
      <c r="E7">
        <v>451.51209999999998</v>
      </c>
      <c r="F7">
        <v>348.53070000000002</v>
      </c>
      <c r="G7">
        <v>287.45780000000002</v>
      </c>
      <c r="H7">
        <v>238.88800000000001</v>
      </c>
      <c r="I7">
        <v>211.13</v>
      </c>
      <c r="J7">
        <v>182.28190000000001</v>
      </c>
      <c r="K7">
        <v>162.5299</v>
      </c>
      <c r="L7">
        <v>146.3879</v>
      </c>
      <c r="M7">
        <v>133.3689</v>
      </c>
      <c r="N7">
        <v>121.43600000000001</v>
      </c>
      <c r="O7">
        <v>113.23699999999999</v>
      </c>
      <c r="P7">
        <v>104.65900000000001</v>
      </c>
      <c r="Q7">
        <v>97.093010000000007</v>
      </c>
      <c r="R7">
        <v>90.811019999999999</v>
      </c>
      <c r="S7">
        <v>86.049959999999999</v>
      </c>
      <c r="T7">
        <v>82.051959999999994</v>
      </c>
      <c r="U7">
        <v>79.000960000000006</v>
      </c>
    </row>
    <row r="8" spans="1:24">
      <c r="A8" t="s">
        <v>42</v>
      </c>
      <c r="B8">
        <v>1517.694</v>
      </c>
      <c r="C8">
        <v>1055.212</v>
      </c>
      <c r="D8">
        <v>688.02170000000001</v>
      </c>
      <c r="E8">
        <v>480.8526</v>
      </c>
      <c r="F8">
        <v>377.45</v>
      </c>
      <c r="G8">
        <v>303.83839999999998</v>
      </c>
      <c r="H8">
        <v>250.75059999999999</v>
      </c>
      <c r="I8">
        <v>214.36500000000001</v>
      </c>
      <c r="J8">
        <v>188.56219999999999</v>
      </c>
      <c r="K8">
        <v>170.20949999999999</v>
      </c>
      <c r="L8">
        <v>153.5608</v>
      </c>
      <c r="M8">
        <v>139.51990000000001</v>
      </c>
      <c r="N8">
        <v>127.20699999999999</v>
      </c>
      <c r="O8">
        <v>117.029</v>
      </c>
      <c r="P8">
        <v>108.07599999999999</v>
      </c>
      <c r="Q8">
        <v>100.33</v>
      </c>
      <c r="R8">
        <v>96.134010000000004</v>
      </c>
      <c r="S8">
        <v>90.184049999999999</v>
      </c>
      <c r="T8">
        <v>87.054029999999997</v>
      </c>
      <c r="U8">
        <v>85.417929999999998</v>
      </c>
    </row>
    <row r="9" spans="1:24">
      <c r="A9" t="s">
        <v>5</v>
      </c>
      <c r="B9">
        <v>1452.961</v>
      </c>
      <c r="C9">
        <v>1004.538</v>
      </c>
      <c r="D9">
        <v>639.71119999999996</v>
      </c>
      <c r="E9">
        <v>445.22820000000002</v>
      </c>
      <c r="F9">
        <v>341.24869999999999</v>
      </c>
      <c r="G9">
        <v>274.64909999999998</v>
      </c>
      <c r="H9">
        <v>232.68770000000001</v>
      </c>
      <c r="I9">
        <v>198.7473</v>
      </c>
      <c r="J9">
        <v>176.10069999999999</v>
      </c>
      <c r="K9">
        <v>155.71279999999999</v>
      </c>
      <c r="L9">
        <v>139.20699999999999</v>
      </c>
      <c r="M9">
        <v>127.553</v>
      </c>
      <c r="N9">
        <v>118.843</v>
      </c>
      <c r="O9">
        <v>109.774</v>
      </c>
      <c r="P9">
        <v>100.9641</v>
      </c>
      <c r="Q9">
        <v>94.858099999999993</v>
      </c>
      <c r="R9">
        <v>88.917100000000005</v>
      </c>
      <c r="S9">
        <v>82.600989999999996</v>
      </c>
      <c r="T9">
        <v>78.881990000000002</v>
      </c>
      <c r="U9">
        <v>78.227959999999996</v>
      </c>
    </row>
    <row r="10" spans="1:24">
      <c r="A10" t="s">
        <v>6</v>
      </c>
      <c r="B10">
        <v>1452.617</v>
      </c>
      <c r="C10">
        <v>1013.624</v>
      </c>
      <c r="D10">
        <v>664.3297</v>
      </c>
      <c r="E10">
        <v>467.92090000000002</v>
      </c>
      <c r="F10">
        <v>361.13260000000002</v>
      </c>
      <c r="G10">
        <v>295.89679999999998</v>
      </c>
      <c r="H10">
        <v>246.506</v>
      </c>
      <c r="I10">
        <v>213.72890000000001</v>
      </c>
      <c r="J10">
        <v>192.8339</v>
      </c>
      <c r="K10">
        <v>173.9958</v>
      </c>
      <c r="L10">
        <v>155.5309</v>
      </c>
      <c r="M10">
        <v>140.32079999999999</v>
      </c>
      <c r="N10">
        <v>127.679</v>
      </c>
      <c r="O10">
        <v>118.304</v>
      </c>
      <c r="P10">
        <v>110.244</v>
      </c>
      <c r="Q10">
        <v>100.1161</v>
      </c>
      <c r="R10">
        <v>94.383099999999999</v>
      </c>
      <c r="S10">
        <v>89.700959999999995</v>
      </c>
      <c r="T10">
        <v>85.965959999999995</v>
      </c>
      <c r="U10">
        <v>81.397909999999996</v>
      </c>
    </row>
  </sheetData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9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"Chg_T_pos_den _1.4A"</f>
        <v>Chg_T_pos_den _1.4A</v>
      </c>
      <c r="C1" s="1" t="str">
        <f>"Chg_T_pos_den _2A"</f>
        <v>Chg_T_pos_den _2A</v>
      </c>
      <c r="D1" s="1" t="str">
        <f>"Chg_T_pos_den _3A"</f>
        <v>Chg_T_pos_den _3A</v>
      </c>
      <c r="E1" s="1" t="str">
        <f>"Chg_T_pos_den _4A"</f>
        <v>Chg_T_pos_den _4A</v>
      </c>
      <c r="F1" s="1" t="str">
        <f>"Chg_T_pos_den _5A"</f>
        <v>Chg_T_pos_den _5A</v>
      </c>
      <c r="G1" s="1" t="str">
        <f>"Chg_T_pos_den _6A"</f>
        <v>Chg_T_pos_den _6A</v>
      </c>
      <c r="H1" s="1" t="str">
        <f>"Chg_T_pos_den _7A"</f>
        <v>Chg_T_pos_den _7A</v>
      </c>
      <c r="I1" s="1" t="str">
        <f>"Chg_T_pos_den _8A"</f>
        <v>Chg_T_pos_den _8A</v>
      </c>
      <c r="J1" s="1" t="str">
        <f>"Chg_T_pos_den _9A"</f>
        <v>Chg_T_pos_den _9A</v>
      </c>
      <c r="K1" s="1" t="str">
        <f>"Chg_T_pos_den _10A"</f>
        <v>Chg_T_pos_den _10A</v>
      </c>
      <c r="L1" s="1" t="str">
        <f>"Chg_T_pos_den _11A"</f>
        <v>Chg_T_pos_den _11A</v>
      </c>
      <c r="M1" s="1" t="str">
        <f>"Chg_T_pos_den _12A"</f>
        <v>Chg_T_pos_den _12A</v>
      </c>
      <c r="N1" s="1" t="str">
        <f>"Chg_T_pos_den _13A"</f>
        <v>Chg_T_pos_den _13A</v>
      </c>
      <c r="O1" s="1" t="str">
        <f>"Chg_T_pos_den _14A"</f>
        <v>Chg_T_pos_den _14A</v>
      </c>
      <c r="P1" s="1" t="str">
        <f>"Chg_T_pos_den _15A"</f>
        <v>Chg_T_pos_den _15A</v>
      </c>
      <c r="Q1" s="1" t="str">
        <f>"Chg_T_pos_den _16A"</f>
        <v>Chg_T_pos_den _16A</v>
      </c>
      <c r="R1" s="1" t="str">
        <f>"Chg_T_pos_den _17A"</f>
        <v>Chg_T_pos_den _17A</v>
      </c>
      <c r="S1" s="1" t="str">
        <f>"Chg_T_pos_den _18A"</f>
        <v>Chg_T_pos_den _18A</v>
      </c>
      <c r="T1" s="1" t="str">
        <f>"Chg_T_pos_den _19A"</f>
        <v>Chg_T_pos_den _19A</v>
      </c>
      <c r="U1" s="1" t="str">
        <f>"Chg_T_pos_den _20A"</f>
        <v>Chg_T_pos_den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1.2038615059583374E-2</v>
      </c>
      <c r="C3">
        <v>1.3453340019361886E-2</v>
      </c>
      <c r="D3">
        <v>1.4582096639287872E-2</v>
      </c>
      <c r="E3">
        <v>1.4950112681530381E-2</v>
      </c>
      <c r="F3">
        <v>1.5104270117178072E-2</v>
      </c>
      <c r="G3">
        <v>1.5332438311546013E-2</v>
      </c>
      <c r="H3">
        <v>1.5439168787174851E-2</v>
      </c>
      <c r="I3">
        <v>1.5718809260131899E-2</v>
      </c>
      <c r="J3">
        <v>1.5905294002165237E-2</v>
      </c>
      <c r="K3">
        <v>1.5779717169558918E-2</v>
      </c>
      <c r="L3">
        <v>1.5629707438681764E-2</v>
      </c>
      <c r="M3">
        <v>1.5778880676267842E-2</v>
      </c>
      <c r="N3">
        <v>1.5991500641165984E-2</v>
      </c>
      <c r="O3">
        <v>1.6158639974459293E-2</v>
      </c>
      <c r="P3">
        <v>1.650556523417842E-2</v>
      </c>
      <c r="Q3">
        <v>1.6571134301219266E-2</v>
      </c>
      <c r="R3">
        <v>1.6701458676396452E-2</v>
      </c>
      <c r="S3">
        <v>1.6800393013932397E-2</v>
      </c>
      <c r="T3">
        <v>1.661379909963779E-2</v>
      </c>
      <c r="U3">
        <v>1.622419243974698E-2</v>
      </c>
    </row>
    <row r="4" spans="1:24">
      <c r="A4" t="s">
        <v>1</v>
      </c>
      <c r="B4">
        <v>1.1977378652186274E-2</v>
      </c>
      <c r="C4">
        <v>1.3491711066039023E-2</v>
      </c>
      <c r="D4">
        <v>1.4578997427692347E-2</v>
      </c>
      <c r="E4">
        <v>1.4890877434002046E-2</v>
      </c>
      <c r="F4">
        <v>1.5094174649893573E-2</v>
      </c>
      <c r="G4">
        <v>1.5251749334954079E-2</v>
      </c>
      <c r="H4">
        <v>1.5359642655726421E-2</v>
      </c>
      <c r="I4">
        <v>1.560136377095799E-2</v>
      </c>
      <c r="J4">
        <v>1.5667394608979229E-2</v>
      </c>
      <c r="K4">
        <v>1.5828521070835079E-2</v>
      </c>
      <c r="L4">
        <v>1.6057828704777344E-2</v>
      </c>
      <c r="M4">
        <v>1.6056914993976865E-2</v>
      </c>
      <c r="N4">
        <v>1.6046241486856343E-2</v>
      </c>
      <c r="O4">
        <v>1.6433047106697012E-2</v>
      </c>
      <c r="P4">
        <v>1.6648358387334458E-2</v>
      </c>
      <c r="Q4">
        <v>1.6668426157144537E-2</v>
      </c>
      <c r="R4">
        <v>1.6697341245352746E-2</v>
      </c>
      <c r="S4">
        <v>1.6739356070896778E-2</v>
      </c>
      <c r="T4">
        <v>1.6567177287688618E-2</v>
      </c>
      <c r="U4">
        <v>1.6469094952646816E-2</v>
      </c>
    </row>
    <row r="5" spans="1:24">
      <c r="A5" t="s">
        <v>2</v>
      </c>
      <c r="B5">
        <v>1.1627562022357166E-2</v>
      </c>
      <c r="C5">
        <v>1.2838465689834971E-2</v>
      </c>
      <c r="D5">
        <v>1.3458300702978768E-2</v>
      </c>
      <c r="E5">
        <v>1.3409655911759185E-2</v>
      </c>
      <c r="F5">
        <v>1.3389467103922701E-2</v>
      </c>
      <c r="G5">
        <v>1.357049972260186E-2</v>
      </c>
      <c r="H5">
        <v>1.3935296438434776E-2</v>
      </c>
      <c r="I5">
        <v>1.4039321903544778E-2</v>
      </c>
      <c r="J5">
        <v>1.4208024442825722E-2</v>
      </c>
      <c r="K5">
        <v>1.4189389925032792E-2</v>
      </c>
      <c r="L5">
        <v>1.4412604712851419E-2</v>
      </c>
      <c r="M5">
        <v>1.4302328917505613E-2</v>
      </c>
      <c r="N5">
        <v>1.4214715511212376E-2</v>
      </c>
      <c r="O5">
        <v>1.4411483800612093E-2</v>
      </c>
      <c r="P5">
        <v>1.4459027148903139E-2</v>
      </c>
      <c r="Q5">
        <v>1.4613600204278054E-2</v>
      </c>
      <c r="R5">
        <v>1.483026344468566E-2</v>
      </c>
      <c r="S5">
        <v>1.5074304285931237E-2</v>
      </c>
      <c r="T5">
        <v>1.5128120827892026E-2</v>
      </c>
      <c r="U5">
        <v>1.4878261483509177E-2</v>
      </c>
    </row>
    <row r="6" spans="1:24">
      <c r="A6" t="s">
        <v>3</v>
      </c>
      <c r="B6">
        <v>1.202365478049283E-2</v>
      </c>
      <c r="C6">
        <v>1.3485509353494232E-2</v>
      </c>
      <c r="D6">
        <v>1.4469427307008726E-2</v>
      </c>
      <c r="E6">
        <v>1.4745480786809245E-2</v>
      </c>
      <c r="F6">
        <v>1.4961552705258728E-2</v>
      </c>
      <c r="G6">
        <v>1.5324827937422141E-2</v>
      </c>
      <c r="H6">
        <v>1.5519469409688558E-2</v>
      </c>
      <c r="I6">
        <v>1.5827729214957967E-2</v>
      </c>
      <c r="J6">
        <v>1.6006487541593385E-2</v>
      </c>
      <c r="K6">
        <v>1.5729363740028163E-2</v>
      </c>
      <c r="L6">
        <v>1.5616854295152329E-2</v>
      </c>
      <c r="M6">
        <v>1.5849193331984462E-2</v>
      </c>
      <c r="N6">
        <v>1.5998951071011701E-2</v>
      </c>
      <c r="O6">
        <v>1.6393645709926366E-2</v>
      </c>
      <c r="P6">
        <v>1.6698274274348019E-2</v>
      </c>
      <c r="Q6">
        <v>1.6784807174412105E-2</v>
      </c>
      <c r="R6">
        <v>1.6593855671417544E-2</v>
      </c>
      <c r="S6">
        <v>1.6491793044023897E-2</v>
      </c>
      <c r="T6">
        <v>1.6561222792892044E-2</v>
      </c>
      <c r="U6">
        <v>1.6273486454933168E-2</v>
      </c>
    </row>
    <row r="7" spans="1:24">
      <c r="A7" t="s">
        <v>4</v>
      </c>
      <c r="B7">
        <v>1.1836031159348887E-2</v>
      </c>
      <c r="C7">
        <v>1.2934078593676665E-2</v>
      </c>
      <c r="D7">
        <v>1.3778574243136582E-2</v>
      </c>
      <c r="E7">
        <v>1.4118106690828441E-2</v>
      </c>
      <c r="F7">
        <v>1.4248489444401883E-2</v>
      </c>
      <c r="G7">
        <v>1.4500733672907815E-2</v>
      </c>
      <c r="H7">
        <v>1.4418053648571716E-2</v>
      </c>
      <c r="I7">
        <v>1.4730246767394496E-2</v>
      </c>
      <c r="J7">
        <v>1.4796630932637852E-2</v>
      </c>
      <c r="K7">
        <v>1.4656404759985701E-2</v>
      </c>
      <c r="L7">
        <v>1.4723703256894864E-2</v>
      </c>
      <c r="M7">
        <v>1.4832168519047544E-2</v>
      </c>
      <c r="N7">
        <v>1.4844881254323263E-2</v>
      </c>
      <c r="O7">
        <v>1.4838021141499687E-2</v>
      </c>
      <c r="P7">
        <v>1.4925357589887157E-2</v>
      </c>
      <c r="Q7">
        <v>1.530894963499432E-2</v>
      </c>
      <c r="R7">
        <v>1.5259172289882881E-2</v>
      </c>
      <c r="S7">
        <v>1.5339193649828541E-2</v>
      </c>
      <c r="T7">
        <v>1.5125232840263658E-2</v>
      </c>
      <c r="U7">
        <v>1.502681739563671E-2</v>
      </c>
    </row>
    <row r="8" spans="1:24">
      <c r="A8" t="s">
        <v>42</v>
      </c>
      <c r="B8">
        <v>1.1956198021472049E-2</v>
      </c>
      <c r="C8">
        <v>1.3421217726864365E-2</v>
      </c>
      <c r="D8">
        <v>1.4417944957259343E-2</v>
      </c>
      <c r="E8">
        <v>1.4870419750251948E-2</v>
      </c>
      <c r="F8">
        <v>1.4967555967677839E-2</v>
      </c>
      <c r="G8">
        <v>1.5179246599508161E-2</v>
      </c>
      <c r="H8">
        <v>1.5223887799271469E-2</v>
      </c>
      <c r="I8">
        <v>1.5454467846896648E-2</v>
      </c>
      <c r="J8">
        <v>1.5783847451928328E-2</v>
      </c>
      <c r="K8">
        <v>1.5855043343644157E-2</v>
      </c>
      <c r="L8">
        <v>1.6027840438445226E-2</v>
      </c>
      <c r="M8">
        <v>1.6192629151827086E-2</v>
      </c>
      <c r="N8">
        <v>1.6434425778455591E-2</v>
      </c>
      <c r="O8">
        <v>1.6770287706465919E-2</v>
      </c>
      <c r="P8">
        <v>1.6466801139938564E-2</v>
      </c>
      <c r="Q8">
        <v>1.6279886374962624E-2</v>
      </c>
      <c r="R8">
        <v>1.6307246519728036E-2</v>
      </c>
      <c r="S8">
        <v>1.6096815345950862E-2</v>
      </c>
      <c r="T8">
        <v>1.5943558270650998E-2</v>
      </c>
      <c r="U8">
        <v>1.5744141774449463E-2</v>
      </c>
    </row>
    <row r="9" spans="1:24">
      <c r="A9" t="s">
        <v>5</v>
      </c>
      <c r="B9">
        <v>1.1752572849512134E-2</v>
      </c>
      <c r="C9">
        <v>1.296720482450639E-2</v>
      </c>
      <c r="D9">
        <v>1.3568802609677619E-2</v>
      </c>
      <c r="E9">
        <v>1.362528923370083E-2</v>
      </c>
      <c r="F9">
        <v>1.3730710182925239E-2</v>
      </c>
      <c r="G9">
        <v>1.3959448620075582E-2</v>
      </c>
      <c r="H9">
        <v>1.4187183078435172E-2</v>
      </c>
      <c r="I9">
        <v>1.4257894321080086E-2</v>
      </c>
      <c r="J9">
        <v>1.4117700838213591E-2</v>
      </c>
      <c r="K9">
        <v>1.413190180897139E-2</v>
      </c>
      <c r="L9">
        <v>1.4565510355082719E-2</v>
      </c>
      <c r="M9">
        <v>1.4493857455332293E-2</v>
      </c>
      <c r="N9">
        <v>1.4549927214896965E-2</v>
      </c>
      <c r="O9">
        <v>1.4639668774026636E-2</v>
      </c>
      <c r="P9">
        <v>1.4616621155440398E-2</v>
      </c>
      <c r="Q9">
        <v>1.4611287807788687E-2</v>
      </c>
      <c r="R9">
        <v>1.4667190000573569E-2</v>
      </c>
      <c r="S9">
        <v>1.4672269666501576E-2</v>
      </c>
      <c r="T9">
        <v>1.4663854195361958E-2</v>
      </c>
      <c r="U9">
        <v>1.4412097669426636E-2</v>
      </c>
    </row>
    <row r="10" spans="1:24">
      <c r="A10" t="s">
        <v>6</v>
      </c>
      <c r="B10">
        <v>1.1727020955971191E-2</v>
      </c>
      <c r="C10">
        <v>1.2997896655959211E-2</v>
      </c>
      <c r="D10">
        <v>1.3863583097368671E-2</v>
      </c>
      <c r="E10">
        <v>1.4265532913789488E-2</v>
      </c>
      <c r="F10">
        <v>1.4588910001478682E-2</v>
      </c>
      <c r="G10">
        <v>1.4809092224045681E-2</v>
      </c>
      <c r="H10">
        <v>1.5008470382059666E-2</v>
      </c>
      <c r="I10">
        <v>1.4975176496954786E-2</v>
      </c>
      <c r="J10">
        <v>1.5089727480489685E-2</v>
      </c>
      <c r="K10">
        <v>1.5231999852870012E-2</v>
      </c>
      <c r="L10">
        <v>1.5440558757134433E-2</v>
      </c>
      <c r="M10">
        <v>1.5655312683508078E-2</v>
      </c>
      <c r="N10">
        <v>1.5887961215235082E-2</v>
      </c>
      <c r="O10">
        <v>1.6009323437922638E-2</v>
      </c>
      <c r="P10">
        <v>1.5956986321251043E-2</v>
      </c>
      <c r="Q10">
        <v>1.5973854355093735E-2</v>
      </c>
      <c r="R10">
        <v>1.6117641823589181E-2</v>
      </c>
      <c r="S10">
        <v>1.6012493065849016E-2</v>
      </c>
      <c r="T10">
        <v>1.5879680748054233E-2</v>
      </c>
      <c r="U10">
        <v>1.6144284294277337E-2</v>
      </c>
    </row>
  </sheetData>
  <phoneticPr fontId="0" type="noConversion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0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"Chg_S_pos_den_1.4A"</f>
        <v>Chg_S_pos_den_1.4A</v>
      </c>
      <c r="C1" s="1" t="str">
        <f>"Chg_S_pos_den_2A"</f>
        <v>Chg_S_pos_den_2A</v>
      </c>
      <c r="D1" s="1" t="str">
        <f>"Chg_S_pos_den_3A"</f>
        <v>Chg_S_pos_den_3A</v>
      </c>
      <c r="E1" s="1" t="str">
        <f>"Chg_S_pos_den_4A"</f>
        <v>Chg_S_pos_den_4A</v>
      </c>
      <c r="F1" s="1" t="str">
        <f>"Chg_S_pos_den_5A"</f>
        <v>Chg_S_pos_den_5A</v>
      </c>
      <c r="G1" s="1" t="str">
        <f>"Chg_S_pos_den_6A"</f>
        <v>Chg_S_pos_den_6A</v>
      </c>
      <c r="H1" s="1" t="str">
        <f>"Chg_S_pos_den_7A"</f>
        <v>Chg_S_pos_den_7A</v>
      </c>
      <c r="I1" s="1" t="str">
        <f>"Chg_S_pos_den_8A"</f>
        <v>Chg_S_pos_den_8A</v>
      </c>
      <c r="J1" s="1" t="str">
        <f>"Chg_S_pos_den_9A"</f>
        <v>Chg_S_pos_den_9A</v>
      </c>
      <c r="K1" s="1" t="str">
        <f>"Chg_S_pos_den_10A"</f>
        <v>Chg_S_pos_den_10A</v>
      </c>
      <c r="L1" s="1" t="str">
        <f>"Chg_S_pos_den_11A"</f>
        <v>Chg_S_pos_den_11A</v>
      </c>
      <c r="M1" s="1" t="str">
        <f>"Chg_S_pos_den_12A"</f>
        <v>Chg_S_pos_den_12A</v>
      </c>
      <c r="N1" s="1" t="str">
        <f>"Chg_S_pos_den_13A"</f>
        <v>Chg_S_pos_den_13A</v>
      </c>
      <c r="O1" s="1" t="str">
        <f>"Chg_S_pos_den_14A"</f>
        <v>Chg_S_pos_den_14A</v>
      </c>
      <c r="P1" s="1" t="str">
        <f>"Chg_S_pos_den_15A"</f>
        <v>Chg_S_pos_den_15A</v>
      </c>
      <c r="Q1" s="1" t="str">
        <f>"Chg_S_pos_den_16A"</f>
        <v>Chg_S_pos_den_16A</v>
      </c>
      <c r="R1" s="1" t="str">
        <f>"Chg_S_pos_den_17A"</f>
        <v>Chg_S_pos_den_17A</v>
      </c>
      <c r="S1" s="1" t="str">
        <f>"Chg_S_pos_den_18A"</f>
        <v>Chg_S_pos_den_18A</v>
      </c>
      <c r="T1" s="1" t="str">
        <f>"Chg_S_pos_den_19A"</f>
        <v>Chg_S_pos_den_19A</v>
      </c>
      <c r="U1" s="1" t="str">
        <f>"Chg_S_pos_den_20A"</f>
        <v>Chg_S_pos_den_20A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2.1287161467955741E-3</v>
      </c>
      <c r="C3">
        <v>2.569736415541772E-3</v>
      </c>
      <c r="D3">
        <v>3.0946131254770849E-3</v>
      </c>
      <c r="E3">
        <v>3.3476216476753212E-3</v>
      </c>
      <c r="F3">
        <v>3.5747394643654896E-3</v>
      </c>
      <c r="G3">
        <v>3.7567268602064583E-3</v>
      </c>
      <c r="H3">
        <v>3.8570218192962857E-3</v>
      </c>
      <c r="I3">
        <v>4.0349572833481197E-3</v>
      </c>
      <c r="J3">
        <v>4.1589284907030235E-3</v>
      </c>
      <c r="K3">
        <v>4.1798123338704441E-3</v>
      </c>
      <c r="L3">
        <v>4.1502848368730159E-3</v>
      </c>
      <c r="M3">
        <v>4.255050792491423E-3</v>
      </c>
      <c r="N3">
        <v>4.297733943689438E-3</v>
      </c>
      <c r="O3">
        <v>4.3077074728136242E-3</v>
      </c>
      <c r="P3">
        <v>4.3913518397685819E-3</v>
      </c>
      <c r="Q3">
        <v>4.3969562697477897E-3</v>
      </c>
      <c r="R3">
        <v>4.4209702394601034E-3</v>
      </c>
      <c r="S3">
        <v>4.4558672257078748E-3</v>
      </c>
      <c r="T3">
        <v>4.5220939034120965E-3</v>
      </c>
      <c r="U3">
        <v>4.5031549106464234E-3</v>
      </c>
    </row>
    <row r="4" spans="1:24">
      <c r="A4" t="s">
        <v>1</v>
      </c>
      <c r="B4">
        <v>2.1164558254305335E-3</v>
      </c>
      <c r="C4">
        <v>2.5574221263293955E-3</v>
      </c>
      <c r="D4">
        <v>3.0750103592740614E-3</v>
      </c>
      <c r="E4">
        <v>3.3294860825230192E-3</v>
      </c>
      <c r="F4">
        <v>3.5341176396275755E-3</v>
      </c>
      <c r="G4">
        <v>3.7342254862179651E-3</v>
      </c>
      <c r="H4">
        <v>3.8010404786082484E-3</v>
      </c>
      <c r="I4">
        <v>3.9294274447705382E-3</v>
      </c>
      <c r="J4">
        <v>3.9899250701601026E-3</v>
      </c>
      <c r="K4">
        <v>4.0922722676802522E-3</v>
      </c>
      <c r="L4">
        <v>4.1846117980393191E-3</v>
      </c>
      <c r="M4">
        <v>4.2237995765653695E-3</v>
      </c>
      <c r="N4">
        <v>4.2311358834023968E-3</v>
      </c>
      <c r="O4">
        <v>4.3165741008090314E-3</v>
      </c>
      <c r="P4">
        <v>4.3848657980647488E-3</v>
      </c>
      <c r="Q4">
        <v>4.4097893810899772E-3</v>
      </c>
      <c r="R4">
        <v>4.4400741457813553E-3</v>
      </c>
      <c r="S4">
        <v>4.445645016225303E-3</v>
      </c>
      <c r="T4">
        <v>4.4977069015284584E-3</v>
      </c>
      <c r="U4">
        <v>4.5728673831903583E-3</v>
      </c>
    </row>
    <row r="5" spans="1:24">
      <c r="A5" t="s">
        <v>2</v>
      </c>
      <c r="B5">
        <v>1.9642468032990811E-3</v>
      </c>
      <c r="C5">
        <v>2.3159846457453722E-3</v>
      </c>
      <c r="D5">
        <v>2.7163169934155892E-3</v>
      </c>
      <c r="E5">
        <v>2.8764277725915723E-3</v>
      </c>
      <c r="F5">
        <v>3.0306063273475292E-3</v>
      </c>
      <c r="G5">
        <v>3.1923828350375579E-3</v>
      </c>
      <c r="H5">
        <v>3.3232061194834986E-3</v>
      </c>
      <c r="I5">
        <v>3.4004180359953947E-3</v>
      </c>
      <c r="J5">
        <v>3.5066919770367156E-3</v>
      </c>
      <c r="K5">
        <v>3.5284015980455367E-3</v>
      </c>
      <c r="L5">
        <v>3.6579964903951556E-3</v>
      </c>
      <c r="M5">
        <v>3.6214125197266611E-3</v>
      </c>
      <c r="N5">
        <v>3.6367093607342811E-3</v>
      </c>
      <c r="O5">
        <v>3.73529543166832E-3</v>
      </c>
      <c r="P5">
        <v>3.8297741629932762E-3</v>
      </c>
      <c r="Q5">
        <v>3.8853761473782999E-3</v>
      </c>
      <c r="R5">
        <v>3.9866717238912592E-3</v>
      </c>
      <c r="S5">
        <v>3.9933803098540265E-3</v>
      </c>
      <c r="T5">
        <v>4.0648355415415375E-3</v>
      </c>
      <c r="U5">
        <v>4.0428897230182807E-3</v>
      </c>
    </row>
    <row r="6" spans="1:24">
      <c r="A6" t="s">
        <v>3</v>
      </c>
      <c r="B6">
        <v>2.1180460011506978E-3</v>
      </c>
      <c r="C6">
        <v>2.5637723246073221E-3</v>
      </c>
      <c r="D6">
        <v>3.0737812757718756E-3</v>
      </c>
      <c r="E6">
        <v>3.3044590390597997E-3</v>
      </c>
      <c r="F6">
        <v>3.5047158883446858E-3</v>
      </c>
      <c r="G6">
        <v>3.7148142012253089E-3</v>
      </c>
      <c r="H6">
        <v>3.8255486563759772E-3</v>
      </c>
      <c r="I6">
        <v>3.9699211832310384E-3</v>
      </c>
      <c r="J6">
        <v>4.1117466111124041E-3</v>
      </c>
      <c r="K6">
        <v>4.1259736061081062E-3</v>
      </c>
      <c r="L6">
        <v>4.1372494862654211E-3</v>
      </c>
      <c r="M6">
        <v>4.2189747424250671E-3</v>
      </c>
      <c r="N6">
        <v>4.2556360977095628E-3</v>
      </c>
      <c r="O6">
        <v>4.3762093089122784E-3</v>
      </c>
      <c r="P6">
        <v>4.4737146605829574E-3</v>
      </c>
      <c r="Q6">
        <v>4.4580261975206174E-3</v>
      </c>
      <c r="R6">
        <v>4.419059427235127E-3</v>
      </c>
      <c r="S6">
        <v>4.3954508390663229E-3</v>
      </c>
      <c r="T6">
        <v>4.5681063819019508E-3</v>
      </c>
      <c r="U6">
        <v>4.5838976396448397E-3</v>
      </c>
    </row>
    <row r="7" spans="1:24">
      <c r="A7" t="s">
        <v>4</v>
      </c>
      <c r="B7">
        <v>2.0123825251649251E-3</v>
      </c>
      <c r="C7">
        <v>2.3473970022917733E-3</v>
      </c>
      <c r="D7">
        <v>2.7650853376570998E-3</v>
      </c>
      <c r="E7">
        <v>2.9269257594882366E-3</v>
      </c>
      <c r="F7">
        <v>3.0875090460996697E-3</v>
      </c>
      <c r="G7">
        <v>3.3210840104946392E-3</v>
      </c>
      <c r="H7">
        <v>3.3841268406464655E-3</v>
      </c>
      <c r="I7">
        <v>3.6089628155785728E-3</v>
      </c>
      <c r="J7">
        <v>3.6185035432962057E-3</v>
      </c>
      <c r="K7">
        <v>3.6338019746761604E-3</v>
      </c>
      <c r="L7">
        <v>3.6989692554582126E-3</v>
      </c>
      <c r="M7">
        <v>3.7522468146257487E-3</v>
      </c>
      <c r="N7">
        <v>3.739277364642512E-3</v>
      </c>
      <c r="O7">
        <v>3.7817202214906818E-3</v>
      </c>
      <c r="P7">
        <v>3.7845802280187827E-3</v>
      </c>
      <c r="Q7">
        <v>3.8507854074551337E-3</v>
      </c>
      <c r="R7">
        <v>3.8560460599179648E-3</v>
      </c>
      <c r="S7">
        <v>3.8930831652394787E-3</v>
      </c>
      <c r="T7">
        <v>3.8910595503250664E-3</v>
      </c>
      <c r="U7">
        <v>3.8922406204067606E-3</v>
      </c>
    </row>
    <row r="8" spans="1:24">
      <c r="A8" t="s">
        <v>42</v>
      </c>
      <c r="B8">
        <v>2.1142590157650271E-3</v>
      </c>
      <c r="C8">
        <v>2.5376538568773564E-3</v>
      </c>
      <c r="D8">
        <v>3.0465705017760653E-3</v>
      </c>
      <c r="E8">
        <v>3.3207447628636555E-3</v>
      </c>
      <c r="F8">
        <v>3.544368727014476E-3</v>
      </c>
      <c r="G8">
        <v>3.7022536038878156E-3</v>
      </c>
      <c r="H8">
        <v>3.7748003777372356E-3</v>
      </c>
      <c r="I8">
        <v>3.8809687564687265E-3</v>
      </c>
      <c r="J8">
        <v>4.0246667000225821E-3</v>
      </c>
      <c r="K8">
        <v>4.1656585726376448E-3</v>
      </c>
      <c r="L8">
        <v>4.2866689668252913E-3</v>
      </c>
      <c r="M8">
        <v>4.3532131623387482E-3</v>
      </c>
      <c r="N8">
        <v>4.418058430849108E-3</v>
      </c>
      <c r="O8">
        <v>4.4781006342232291E-3</v>
      </c>
      <c r="P8">
        <v>4.3979465148876193E-3</v>
      </c>
      <c r="Q8">
        <v>4.3263245414195736E-3</v>
      </c>
      <c r="R8">
        <v>4.4346821980018941E-3</v>
      </c>
      <c r="S8">
        <v>4.3647745415512839E-3</v>
      </c>
      <c r="T8">
        <v>4.4625134032849501E-3</v>
      </c>
      <c r="U8">
        <v>4.5281026596919564E-3</v>
      </c>
    </row>
    <row r="9" spans="1:24">
      <c r="A9" t="s">
        <v>5</v>
      </c>
      <c r="B9">
        <v>2.0372128314595883E-3</v>
      </c>
      <c r="C9">
        <v>2.3897404831785003E-3</v>
      </c>
      <c r="D9">
        <v>2.7289128255946001E-3</v>
      </c>
      <c r="E9">
        <v>2.8215851838897408E-3</v>
      </c>
      <c r="F9">
        <v>2.9663442820035413E-3</v>
      </c>
      <c r="G9">
        <v>3.0960598611680873E-3</v>
      </c>
      <c r="H9">
        <v>3.2633703280093556E-3</v>
      </c>
      <c r="I9">
        <v>3.3365108303746427E-3</v>
      </c>
      <c r="J9">
        <v>3.3522063205697621E-3</v>
      </c>
      <c r="K9">
        <v>3.397388887533684E-3</v>
      </c>
      <c r="L9">
        <v>3.4809780835934252E-3</v>
      </c>
      <c r="M9">
        <v>3.5533469580508494E-3</v>
      </c>
      <c r="N9">
        <v>3.6593042112460588E-3</v>
      </c>
      <c r="O9">
        <v>3.6880976745584356E-3</v>
      </c>
      <c r="P9">
        <v>3.6624640579420967E-3</v>
      </c>
      <c r="Q9">
        <v>3.62329850589806E-3</v>
      </c>
      <c r="R9">
        <v>3.6641755840941957E-3</v>
      </c>
      <c r="S9">
        <v>3.6458358088759745E-3</v>
      </c>
      <c r="T9">
        <v>3.6799854418521935E-3</v>
      </c>
      <c r="U9">
        <v>3.7355971649422198E-3</v>
      </c>
    </row>
    <row r="10" spans="1:24">
      <c r="A10" t="s">
        <v>6</v>
      </c>
      <c r="B10">
        <v>2.0224737910447478E-3</v>
      </c>
      <c r="C10">
        <v>2.403274660508437E-3</v>
      </c>
      <c r="D10">
        <v>2.86167262305361E-3</v>
      </c>
      <c r="E10">
        <v>3.0928445367619088E-3</v>
      </c>
      <c r="F10">
        <v>3.2859027276231248E-3</v>
      </c>
      <c r="G10">
        <v>3.4966609080063996E-3</v>
      </c>
      <c r="H10">
        <v>3.6336473601709732E-3</v>
      </c>
      <c r="I10">
        <v>3.7095462086894136E-3</v>
      </c>
      <c r="J10">
        <v>3.8647286339342289E-3</v>
      </c>
      <c r="K10">
        <v>4.0301769364071496E-3</v>
      </c>
      <c r="L10">
        <v>4.0963878028323691E-3</v>
      </c>
      <c r="M10">
        <v>4.1773396354431308E-3</v>
      </c>
      <c r="N10">
        <v>4.2197575847338457E-3</v>
      </c>
      <c r="O10">
        <v>4.2940359471937729E-3</v>
      </c>
      <c r="P10">
        <v>4.3177206105416309E-3</v>
      </c>
      <c r="Q10">
        <v>4.2327498979025492E-3</v>
      </c>
      <c r="R10">
        <v>4.2866389500836634E-3</v>
      </c>
      <c r="S10">
        <v>4.2874677619638936E-3</v>
      </c>
      <c r="T10">
        <v>4.3009524961751446E-3</v>
      </c>
      <c r="U10">
        <v>4.3727919515479672E-3</v>
      </c>
    </row>
  </sheetData>
  <phoneticPr fontId="0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1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"Chg_T_neg_1.4A"</f>
        <v>Chg_T_neg_1.4A</v>
      </c>
      <c r="C1" s="1" t="str">
        <f>"Chg_T_neg_2A"</f>
        <v>Chg_T_neg_2A</v>
      </c>
      <c r="D1" s="1" t="str">
        <f>"Chg_T_neg_3A"</f>
        <v>Chg_T_neg_3A</v>
      </c>
      <c r="E1" s="1" t="str">
        <f>"Chg_T_neg_4A"</f>
        <v>Chg_T_neg_4A</v>
      </c>
      <c r="F1" s="1" t="str">
        <f>"Chg_T_neg_5A"</f>
        <v>Chg_T_neg_5A</v>
      </c>
      <c r="G1" s="1" t="str">
        <f>"Chg_T_neg_6A"</f>
        <v>Chg_T_neg_6A</v>
      </c>
      <c r="H1" s="1" t="str">
        <f>"Chg_T_neg_7A"</f>
        <v>Chg_T_neg_7A</v>
      </c>
      <c r="I1" s="1" t="str">
        <f>"Chg_T_neg_8A"</f>
        <v>Chg_T_neg_8A</v>
      </c>
      <c r="J1" s="1" t="str">
        <f>"Chg_T_neg_9A"</f>
        <v>Chg_T_neg_9A</v>
      </c>
      <c r="K1" s="1" t="str">
        <f>"Chg_T_neg_10A"</f>
        <v>Chg_T_neg_10A</v>
      </c>
      <c r="L1" s="1" t="str">
        <f>"Chg_T_neg_11A"</f>
        <v>Chg_T_neg_11A</v>
      </c>
      <c r="M1" s="1" t="str">
        <f>"Chg_T_neg_12A"</f>
        <v>Chg_T_neg_12A</v>
      </c>
      <c r="N1" s="1" t="str">
        <f>"Chg_T_neg_13A"</f>
        <v>Chg_T_neg_13A</v>
      </c>
      <c r="O1" s="1" t="str">
        <f>"Chg_T_neg_14A"</f>
        <v>Chg_T_neg_14A</v>
      </c>
      <c r="P1" s="1" t="str">
        <f>"Chg_T_neg_15A"</f>
        <v>Chg_T_neg_15A</v>
      </c>
      <c r="Q1" s="1" t="str">
        <f>"Chg_T_neg_16A"</f>
        <v>Chg_T_neg_16A</v>
      </c>
      <c r="R1" s="1" t="str">
        <f>"Chg_T_neg_17A"</f>
        <v>Chg_T_neg_17A</v>
      </c>
      <c r="S1" s="1" t="str">
        <f>"Chg_T_neg_18A"</f>
        <v>Chg_T_neg_18A</v>
      </c>
      <c r="T1" s="1" t="str">
        <f>"Chg_T_neg_19A"</f>
        <v>Chg_T_neg_19A</v>
      </c>
      <c r="U1" s="1" t="str">
        <f>"Chg_T_neg_20A"</f>
        <v>Chg_T_neg_20A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-52.929450000000003</v>
      </c>
      <c r="C3">
        <v>-33.884390000000003</v>
      </c>
      <c r="D3">
        <v>-20.151859999999999</v>
      </c>
      <c r="E3">
        <v>-13.496969999999999</v>
      </c>
      <c r="F3">
        <v>-9.9035189999999993</v>
      </c>
      <c r="G3">
        <v>-7.5930799999999996</v>
      </c>
      <c r="H3">
        <v>-6.1650530000000003</v>
      </c>
      <c r="I3">
        <v>-5.1580199999999996</v>
      </c>
      <c r="J3">
        <v>-4.3839389999999998</v>
      </c>
      <c r="K3">
        <v>-3.8883740000000002</v>
      </c>
      <c r="L3">
        <v>-3.487778</v>
      </c>
      <c r="M3">
        <v>-3.0670109999999999</v>
      </c>
      <c r="N3">
        <v>-2.7958759999999998</v>
      </c>
      <c r="O3">
        <v>-2.565995</v>
      </c>
      <c r="P3">
        <v>-2.333631</v>
      </c>
      <c r="Q3">
        <v>-2.1371760000000002</v>
      </c>
      <c r="R3">
        <v>-2.0199090000000002</v>
      </c>
      <c r="S3">
        <v>-1.8903920000000001</v>
      </c>
      <c r="T3">
        <v>-1.775201</v>
      </c>
      <c r="U3">
        <v>-1.6977409999999999</v>
      </c>
    </row>
    <row r="4" spans="1:24">
      <c r="A4" t="s">
        <v>1</v>
      </c>
      <c r="B4">
        <v>-53.038350000000001</v>
      </c>
      <c r="C4">
        <v>-34.093679999999999</v>
      </c>
      <c r="D4">
        <v>-20.323899999999998</v>
      </c>
      <c r="E4">
        <v>-13.5402</v>
      </c>
      <c r="F4">
        <v>-9.9595369999999992</v>
      </c>
      <c r="G4">
        <v>-7.5927720000000001</v>
      </c>
      <c r="H4">
        <v>-6.1892569999999996</v>
      </c>
      <c r="I4">
        <v>-5.1735239999999996</v>
      </c>
      <c r="J4">
        <v>-4.4453370000000003</v>
      </c>
      <c r="K4">
        <v>-3.8485140000000002</v>
      </c>
      <c r="L4">
        <v>-3.422946</v>
      </c>
      <c r="M4">
        <v>-3.063631</v>
      </c>
      <c r="N4">
        <v>-2.8129780000000002</v>
      </c>
      <c r="O4">
        <v>-2.5971489999999999</v>
      </c>
      <c r="P4">
        <v>-2.3975759999999999</v>
      </c>
      <c r="Q4">
        <v>-2.2418849999999999</v>
      </c>
      <c r="R4">
        <v>-2.090195</v>
      </c>
      <c r="S4">
        <v>-1.9746440000000001</v>
      </c>
      <c r="T4">
        <v>-1.829243</v>
      </c>
      <c r="U4">
        <v>-1.6985490000000001</v>
      </c>
    </row>
    <row r="5" spans="1:24">
      <c r="A5" t="s">
        <v>2</v>
      </c>
      <c r="B5">
        <v>-52.981650000000002</v>
      </c>
      <c r="C5">
        <v>-34.276330000000002</v>
      </c>
      <c r="D5">
        <v>-20.434249999999999</v>
      </c>
      <c r="E5">
        <v>-13.72498</v>
      </c>
      <c r="F5">
        <v>-10.06934</v>
      </c>
      <c r="G5">
        <v>-7.913227</v>
      </c>
      <c r="H5">
        <v>-6.4325029999999996</v>
      </c>
      <c r="I5">
        <v>-5.3807720000000003</v>
      </c>
      <c r="J5">
        <v>-4.5324049999999998</v>
      </c>
      <c r="K5">
        <v>-3.9084989999999999</v>
      </c>
      <c r="L5">
        <v>-3.3902519999999998</v>
      </c>
      <c r="M5">
        <v>-3.1086520000000002</v>
      </c>
      <c r="N5">
        <v>-2.8158029999999998</v>
      </c>
      <c r="O5">
        <v>-2.5681780000000001</v>
      </c>
      <c r="P5">
        <v>-2.3664900000000002</v>
      </c>
      <c r="Q5">
        <v>-2.2149230000000002</v>
      </c>
      <c r="R5">
        <v>-2.0523069999999999</v>
      </c>
      <c r="S5">
        <v>-1.923905</v>
      </c>
      <c r="T5">
        <v>-1.8067930000000001</v>
      </c>
      <c r="U5">
        <v>-1.6977199999999999</v>
      </c>
    </row>
    <row r="6" spans="1:24">
      <c r="A6" t="s">
        <v>3</v>
      </c>
      <c r="B6">
        <v>-53.267870000000002</v>
      </c>
      <c r="C6">
        <v>-34.440770000000001</v>
      </c>
      <c r="D6">
        <v>-20.465039999999998</v>
      </c>
      <c r="E6">
        <v>-13.612299999999999</v>
      </c>
      <c r="F6">
        <v>-9.9865870000000001</v>
      </c>
      <c r="G6">
        <v>-7.6955739999999997</v>
      </c>
      <c r="H6">
        <v>-6.2238309999999997</v>
      </c>
      <c r="I6">
        <v>-5.2809929999999996</v>
      </c>
      <c r="J6">
        <v>-4.5026279999999996</v>
      </c>
      <c r="K6">
        <v>-3.9047589999999999</v>
      </c>
      <c r="L6">
        <v>-3.4697640000000001</v>
      </c>
      <c r="M6">
        <v>-3.1078079999999999</v>
      </c>
      <c r="N6">
        <v>-2.8267440000000001</v>
      </c>
      <c r="O6">
        <v>-2.5724649999999998</v>
      </c>
      <c r="P6">
        <v>-2.3735010000000001</v>
      </c>
      <c r="Q6">
        <v>-2.1844420000000002</v>
      </c>
      <c r="R6">
        <v>-1.986904</v>
      </c>
      <c r="S6">
        <v>-1.8881349999999999</v>
      </c>
      <c r="T6">
        <v>-1.775334</v>
      </c>
      <c r="U6">
        <v>-1.6787209999999999</v>
      </c>
    </row>
    <row r="7" spans="1:24">
      <c r="A7" t="s">
        <v>4</v>
      </c>
      <c r="B7">
        <v>-52.526000000000003</v>
      </c>
      <c r="C7">
        <v>-33.96904</v>
      </c>
      <c r="D7">
        <v>-19.897500000000001</v>
      </c>
      <c r="E7">
        <v>-13.40218</v>
      </c>
      <c r="F7">
        <v>-9.9042750000000002</v>
      </c>
      <c r="G7">
        <v>-7.5478040000000002</v>
      </c>
      <c r="H7">
        <v>-5.9894670000000003</v>
      </c>
      <c r="I7">
        <v>-4.9976649999999996</v>
      </c>
      <c r="J7">
        <v>-4.328665</v>
      </c>
      <c r="K7">
        <v>-3.7798799999999999</v>
      </c>
      <c r="L7">
        <v>-3.3286159999999998</v>
      </c>
      <c r="M7">
        <v>-2.9990839999999999</v>
      </c>
      <c r="N7">
        <v>-2.7328130000000002</v>
      </c>
      <c r="O7">
        <v>-2.498821</v>
      </c>
      <c r="P7">
        <v>-2.3489460000000002</v>
      </c>
      <c r="Q7">
        <v>-2.198788</v>
      </c>
      <c r="R7">
        <v>-2.0058590000000001</v>
      </c>
      <c r="S7">
        <v>-1.881966</v>
      </c>
      <c r="T7">
        <v>-1.7621150000000001</v>
      </c>
      <c r="U7">
        <v>-1.6809050000000001</v>
      </c>
    </row>
    <row r="8" spans="1:24">
      <c r="A8" t="s">
        <v>42</v>
      </c>
      <c r="B8">
        <v>-53.187869999999997</v>
      </c>
      <c r="C8">
        <v>-34.399039999999999</v>
      </c>
      <c r="D8">
        <v>-20.40485</v>
      </c>
      <c r="E8">
        <v>-13.55354</v>
      </c>
      <c r="F8">
        <v>-9.999136</v>
      </c>
      <c r="G8">
        <v>-7.690925</v>
      </c>
      <c r="H8">
        <v>-6.1674660000000001</v>
      </c>
      <c r="I8">
        <v>-5.2393530000000004</v>
      </c>
      <c r="J8">
        <v>-4.454771</v>
      </c>
      <c r="K8">
        <v>-3.8792990000000001</v>
      </c>
      <c r="L8">
        <v>-3.421589</v>
      </c>
      <c r="M8">
        <v>-3.0567519999999999</v>
      </c>
      <c r="N8">
        <v>-2.7675649999999998</v>
      </c>
      <c r="O8">
        <v>-2.5913029999999999</v>
      </c>
      <c r="P8">
        <v>-2.3862559999999999</v>
      </c>
      <c r="Q8">
        <v>-2.2298930000000001</v>
      </c>
      <c r="R8">
        <v>-2.0557919999999998</v>
      </c>
      <c r="S8">
        <v>-1.9254070000000001</v>
      </c>
      <c r="T8">
        <v>-1.78799</v>
      </c>
      <c r="U8">
        <v>-1.6679299999999999</v>
      </c>
    </row>
    <row r="9" spans="1:24">
      <c r="A9" t="s">
        <v>5</v>
      </c>
      <c r="B9">
        <v>-52.859670000000001</v>
      </c>
      <c r="C9">
        <v>-34.435009999999998</v>
      </c>
      <c r="D9">
        <v>-20.51707</v>
      </c>
      <c r="E9">
        <v>-13.981529999999999</v>
      </c>
      <c r="F9">
        <v>-10.321210000000001</v>
      </c>
      <c r="G9">
        <v>-8.0824099999999994</v>
      </c>
      <c r="H9">
        <v>-6.4927229999999998</v>
      </c>
      <c r="I9">
        <v>-5.4222900000000003</v>
      </c>
      <c r="J9">
        <v>-4.6406720000000004</v>
      </c>
      <c r="K9">
        <v>-4.0074389999999998</v>
      </c>
      <c r="L9">
        <v>-3.6054740000000001</v>
      </c>
      <c r="M9">
        <v>-3.1430380000000002</v>
      </c>
      <c r="N9">
        <v>-2.8079000000000001</v>
      </c>
      <c r="O9">
        <v>-2.5528680000000001</v>
      </c>
      <c r="P9">
        <v>-2.378139</v>
      </c>
      <c r="Q9">
        <v>-2.244605</v>
      </c>
      <c r="R9">
        <v>-2.096848</v>
      </c>
      <c r="S9">
        <v>-1.9462269999999999</v>
      </c>
      <c r="T9">
        <v>-1.8296669999999999</v>
      </c>
      <c r="U9">
        <v>-1.738526</v>
      </c>
    </row>
    <row r="10" spans="1:24">
      <c r="A10" t="s">
        <v>6</v>
      </c>
      <c r="B10">
        <v>-52.366070000000001</v>
      </c>
      <c r="C10">
        <v>-33.635939999999998</v>
      </c>
      <c r="D10">
        <v>-19.802520000000001</v>
      </c>
      <c r="E10">
        <v>-13.20712</v>
      </c>
      <c r="F10">
        <v>-9.7572670000000006</v>
      </c>
      <c r="G10">
        <v>-7.5000660000000003</v>
      </c>
      <c r="H10">
        <v>-5.9826280000000001</v>
      </c>
      <c r="I10">
        <v>-4.955921</v>
      </c>
      <c r="J10">
        <v>-4.2675890000000001</v>
      </c>
      <c r="K10">
        <v>-3.6744219999999999</v>
      </c>
      <c r="L10">
        <v>-3.3062450000000001</v>
      </c>
      <c r="M10">
        <v>-2.9612889999999998</v>
      </c>
      <c r="N10">
        <v>-2.6949390000000002</v>
      </c>
      <c r="O10">
        <v>-2.4728059999999998</v>
      </c>
      <c r="P10">
        <v>-2.2665630000000001</v>
      </c>
      <c r="Q10">
        <v>-2.1171959999999999</v>
      </c>
      <c r="R10">
        <v>-1.9798990000000001</v>
      </c>
      <c r="S10">
        <v>-1.8471569999999999</v>
      </c>
      <c r="T10">
        <v>-1.739422</v>
      </c>
      <c r="U10">
        <v>-1.6302570000000001</v>
      </c>
    </row>
  </sheetData>
  <phoneticPr fontId="0" type="noConversion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3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"Chg_neg_A_1.4A"</f>
        <v>Chg_neg_A_1.4A</v>
      </c>
      <c r="C1" s="1" t="str">
        <f>"Chg_neg_A_2A"</f>
        <v>Chg_neg_A_2A</v>
      </c>
      <c r="D1" s="1" t="str">
        <f>"Chg_neg_A_3A"</f>
        <v>Chg_neg_A_3A</v>
      </c>
      <c r="E1" s="1" t="str">
        <f>"Chg_neg_A_4A"</f>
        <v>Chg_neg_A_4A</v>
      </c>
      <c r="F1" s="1" t="str">
        <f>"Chg_neg_A_5A"</f>
        <v>Chg_neg_A_5A</v>
      </c>
      <c r="G1" s="1" t="str">
        <f>"Chg_neg_A_6A"</f>
        <v>Chg_neg_A_6A</v>
      </c>
      <c r="H1" s="1" t="str">
        <f>"Chg_neg_A_7A"</f>
        <v>Chg_neg_A_7A</v>
      </c>
      <c r="I1" s="1" t="str">
        <f>"Chg_neg_A_8A"</f>
        <v>Chg_neg_A_8A</v>
      </c>
      <c r="J1" s="1" t="str">
        <f>"Chg_neg_A_9A"</f>
        <v>Chg_neg_A_9A</v>
      </c>
      <c r="K1" s="1" t="str">
        <f>"Chg_neg_A_10A"</f>
        <v>Chg_neg_A_10A</v>
      </c>
      <c r="L1" s="1" t="str">
        <f>"Chg_neg_A_11A"</f>
        <v>Chg_neg_A_11A</v>
      </c>
      <c r="M1" s="1" t="str">
        <f>"Chg_neg_A_12A"</f>
        <v>Chg_neg_A_12A</v>
      </c>
      <c r="N1" s="1" t="str">
        <f>"Chg_neg_A_13A"</f>
        <v>Chg_neg_A_13A</v>
      </c>
      <c r="O1" s="1" t="str">
        <f>"Chg_neg_A_14A"</f>
        <v>Chg_neg_A_14A</v>
      </c>
      <c r="P1" s="1" t="str">
        <f>"Chg_neg_A_15A"</f>
        <v>Chg_neg_A_15A</v>
      </c>
      <c r="Q1" s="1" t="str">
        <f>"Chg_neg_A_16A"</f>
        <v>Chg_neg_A_16A</v>
      </c>
      <c r="R1" s="1" t="str">
        <f>"Chg_neg_A_17A"</f>
        <v>Chg_neg_A_17A</v>
      </c>
      <c r="S1" s="1" t="str">
        <f>"Chg_neg_A_18A"</f>
        <v>Chg_neg_A_18A</v>
      </c>
      <c r="T1" s="1" t="str">
        <f>"Chg_neg_A_19A"</f>
        <v>Chg_neg_A_19A</v>
      </c>
      <c r="U1" s="1" t="str">
        <f>"Chg_neg_A_20A"</f>
        <v>Chg_neg_A_20A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7066.8419999999996</v>
      </c>
      <c r="C3">
        <v>4501.9520000000002</v>
      </c>
      <c r="D3">
        <v>2550.154</v>
      </c>
      <c r="E3">
        <v>1672.9369999999999</v>
      </c>
      <c r="F3">
        <v>1209.739</v>
      </c>
      <c r="G3">
        <v>935.04510000000005</v>
      </c>
      <c r="H3">
        <v>758.80089999999996</v>
      </c>
      <c r="I3">
        <v>633.54110000000003</v>
      </c>
      <c r="J3">
        <v>542.38120000000004</v>
      </c>
      <c r="K3">
        <v>477.97859999999997</v>
      </c>
      <c r="L3">
        <v>428.15269999999998</v>
      </c>
      <c r="M3">
        <v>381.7645</v>
      </c>
      <c r="N3">
        <v>347.98320000000001</v>
      </c>
      <c r="O3">
        <v>321.42009999999999</v>
      </c>
      <c r="P3">
        <v>294.36770000000001</v>
      </c>
      <c r="Q3">
        <v>275.06400000000002</v>
      </c>
      <c r="R3">
        <v>259.74459999999999</v>
      </c>
      <c r="S3">
        <v>244.29349999999999</v>
      </c>
      <c r="T3">
        <v>227.30420000000001</v>
      </c>
      <c r="U3">
        <v>216.71559999999999</v>
      </c>
    </row>
    <row r="4" spans="1:24">
      <c r="A4" t="s">
        <v>1</v>
      </c>
      <c r="B4">
        <v>7096.92</v>
      </c>
      <c r="C4">
        <v>4519.7370000000001</v>
      </c>
      <c r="D4">
        <v>2568.8939999999998</v>
      </c>
      <c r="E4">
        <v>1673.2539999999999</v>
      </c>
      <c r="F4">
        <v>1212.473</v>
      </c>
      <c r="G4">
        <v>939.83389999999997</v>
      </c>
      <c r="H4">
        <v>758.11540000000002</v>
      </c>
      <c r="I4">
        <v>637.99580000000003</v>
      </c>
      <c r="J4">
        <v>551.22389999999996</v>
      </c>
      <c r="K4">
        <v>483.91930000000002</v>
      </c>
      <c r="L4">
        <v>429.44380000000001</v>
      </c>
      <c r="M4">
        <v>386.0582</v>
      </c>
      <c r="N4">
        <v>350.97460000000001</v>
      </c>
      <c r="O4">
        <v>325.58620000000002</v>
      </c>
      <c r="P4">
        <v>303.27960000000002</v>
      </c>
      <c r="Q4">
        <v>281.75380000000001</v>
      </c>
      <c r="R4">
        <v>264.4237</v>
      </c>
      <c r="S4">
        <v>250.6026</v>
      </c>
      <c r="T4">
        <v>230.68100000000001</v>
      </c>
      <c r="U4">
        <v>216.96559999999999</v>
      </c>
    </row>
    <row r="5" spans="1:24">
      <c r="A5" t="s">
        <v>2</v>
      </c>
      <c r="B5">
        <v>6994.9849999999997</v>
      </c>
      <c r="C5">
        <v>4479.0140000000001</v>
      </c>
      <c r="D5">
        <v>2583.4699999999998</v>
      </c>
      <c r="E5">
        <v>1699.701</v>
      </c>
      <c r="F5">
        <v>1231.3530000000001</v>
      </c>
      <c r="G5">
        <v>960.97230000000002</v>
      </c>
      <c r="H5">
        <v>783.49270000000001</v>
      </c>
      <c r="I5">
        <v>654.14509999999996</v>
      </c>
      <c r="J5">
        <v>560.12869999999998</v>
      </c>
      <c r="K5">
        <v>486.95479999999998</v>
      </c>
      <c r="L5">
        <v>427.82459999999998</v>
      </c>
      <c r="M5">
        <v>390.63929999999999</v>
      </c>
      <c r="N5">
        <v>354.76479999999998</v>
      </c>
      <c r="O5">
        <v>324.99919999999997</v>
      </c>
      <c r="P5">
        <v>300.35050000000001</v>
      </c>
      <c r="Q5">
        <v>281.149</v>
      </c>
      <c r="R5">
        <v>260.43860000000001</v>
      </c>
      <c r="S5">
        <v>246.2987</v>
      </c>
      <c r="T5">
        <v>231.4641</v>
      </c>
      <c r="U5">
        <v>219.02850000000001</v>
      </c>
    </row>
    <row r="6" spans="1:24">
      <c r="A6" t="s">
        <v>3</v>
      </c>
      <c r="B6">
        <v>7081.0159999999996</v>
      </c>
      <c r="C6">
        <v>4527.1319999999996</v>
      </c>
      <c r="D6">
        <v>2560.3020000000001</v>
      </c>
      <c r="E6">
        <v>1672.2819999999999</v>
      </c>
      <c r="F6">
        <v>1216.373</v>
      </c>
      <c r="G6">
        <v>942.02250000000004</v>
      </c>
      <c r="H6">
        <v>761.11310000000003</v>
      </c>
      <c r="I6">
        <v>641.7106</v>
      </c>
      <c r="J6">
        <v>549.5462</v>
      </c>
      <c r="K6">
        <v>478.94510000000002</v>
      </c>
      <c r="L6">
        <v>428.2174</v>
      </c>
      <c r="M6">
        <v>384.2106</v>
      </c>
      <c r="N6">
        <v>349.89049999999997</v>
      </c>
      <c r="O6">
        <v>319.64499999999998</v>
      </c>
      <c r="P6">
        <v>296.73090000000002</v>
      </c>
      <c r="Q6">
        <v>276.24509999999998</v>
      </c>
      <c r="R6">
        <v>256.70260000000002</v>
      </c>
      <c r="S6">
        <v>243.50049999999999</v>
      </c>
      <c r="T6">
        <v>224.65520000000001</v>
      </c>
      <c r="U6">
        <v>214.06379999999999</v>
      </c>
    </row>
    <row r="7" spans="1:24">
      <c r="A7" t="s">
        <v>4</v>
      </c>
      <c r="B7">
        <v>6985.5770000000002</v>
      </c>
      <c r="C7">
        <v>4492.4750000000004</v>
      </c>
      <c r="D7">
        <v>2564.498</v>
      </c>
      <c r="E7">
        <v>1726.366</v>
      </c>
      <c r="F7">
        <v>1259.9010000000001</v>
      </c>
      <c r="G7">
        <v>967.654</v>
      </c>
      <c r="H7">
        <v>778.89409999999998</v>
      </c>
      <c r="I7">
        <v>650.6087</v>
      </c>
      <c r="J7">
        <v>563.1019</v>
      </c>
      <c r="K7">
        <v>493.01350000000002</v>
      </c>
      <c r="L7">
        <v>436.30810000000002</v>
      </c>
      <c r="M7">
        <v>393.82339999999999</v>
      </c>
      <c r="N7">
        <v>360.66340000000002</v>
      </c>
      <c r="O7">
        <v>331.06130000000002</v>
      </c>
      <c r="P7">
        <v>308.08670000000001</v>
      </c>
      <c r="Q7">
        <v>288.9042</v>
      </c>
      <c r="R7">
        <v>268.54700000000003</v>
      </c>
      <c r="S7">
        <v>252.99700000000001</v>
      </c>
      <c r="T7">
        <v>236.898</v>
      </c>
      <c r="U7">
        <v>225.99860000000001</v>
      </c>
    </row>
    <row r="8" spans="1:24">
      <c r="A8" t="s">
        <v>42</v>
      </c>
      <c r="B8">
        <v>7065.1419999999998</v>
      </c>
      <c r="C8">
        <v>4525.8090000000002</v>
      </c>
      <c r="D8">
        <v>2568.0610000000001</v>
      </c>
      <c r="E8">
        <v>1672.415</v>
      </c>
      <c r="F8">
        <v>1216.4949999999999</v>
      </c>
      <c r="G8">
        <v>941.89469999999994</v>
      </c>
      <c r="H8">
        <v>760.53489999999999</v>
      </c>
      <c r="I8">
        <v>639.25900000000001</v>
      </c>
      <c r="J8">
        <v>550.94169999999997</v>
      </c>
      <c r="K8">
        <v>477.63080000000002</v>
      </c>
      <c r="L8">
        <v>420.60270000000003</v>
      </c>
      <c r="M8">
        <v>379.45330000000001</v>
      </c>
      <c r="N8">
        <v>345.98160000000001</v>
      </c>
      <c r="O8">
        <v>321.23970000000003</v>
      </c>
      <c r="P8">
        <v>296.58179999999999</v>
      </c>
      <c r="Q8">
        <v>277.21010000000001</v>
      </c>
      <c r="R8">
        <v>257.37090000000001</v>
      </c>
      <c r="S8">
        <v>242.40469999999999</v>
      </c>
      <c r="T8">
        <v>223.9701</v>
      </c>
      <c r="U8">
        <v>211.57859999999999</v>
      </c>
    </row>
    <row r="9" spans="1:24">
      <c r="A9" t="s">
        <v>5</v>
      </c>
      <c r="B9">
        <v>6929.25</v>
      </c>
      <c r="C9">
        <v>4446.5230000000001</v>
      </c>
      <c r="D9">
        <v>2541.1129999999998</v>
      </c>
      <c r="E9">
        <v>1704.76</v>
      </c>
      <c r="F9">
        <v>1238.336</v>
      </c>
      <c r="G9">
        <v>963.67629999999997</v>
      </c>
      <c r="H9">
        <v>778.89940000000001</v>
      </c>
      <c r="I9">
        <v>650.5548</v>
      </c>
      <c r="J9">
        <v>565.54369999999994</v>
      </c>
      <c r="K9">
        <v>491.99849999999998</v>
      </c>
      <c r="L9">
        <v>443.2801</v>
      </c>
      <c r="M9">
        <v>392.72829999999999</v>
      </c>
      <c r="N9">
        <v>353.69479999999999</v>
      </c>
      <c r="O9">
        <v>325.96730000000002</v>
      </c>
      <c r="P9">
        <v>301.97570000000002</v>
      </c>
      <c r="Q9">
        <v>287.666</v>
      </c>
      <c r="R9">
        <v>267.00569999999999</v>
      </c>
      <c r="S9">
        <v>249.81790000000001</v>
      </c>
      <c r="T9">
        <v>235.44290000000001</v>
      </c>
      <c r="U9">
        <v>223.57859999999999</v>
      </c>
    </row>
    <row r="10" spans="1:24">
      <c r="A10" t="s">
        <v>6</v>
      </c>
      <c r="B10">
        <v>6970.317</v>
      </c>
      <c r="C10">
        <v>4468.7129999999997</v>
      </c>
      <c r="D10">
        <v>2554.0949999999998</v>
      </c>
      <c r="E10">
        <v>1690.329</v>
      </c>
      <c r="F10">
        <v>1242.2429999999999</v>
      </c>
      <c r="G10">
        <v>957.28150000000005</v>
      </c>
      <c r="H10">
        <v>771.66790000000003</v>
      </c>
      <c r="I10">
        <v>649.07479999999998</v>
      </c>
      <c r="J10">
        <v>560.08500000000004</v>
      </c>
      <c r="K10">
        <v>483.62240000000003</v>
      </c>
      <c r="L10">
        <v>430.71390000000002</v>
      </c>
      <c r="M10">
        <v>385.55709999999999</v>
      </c>
      <c r="N10">
        <v>353.05040000000002</v>
      </c>
      <c r="O10">
        <v>322.76479999999998</v>
      </c>
      <c r="P10">
        <v>297.18349999999998</v>
      </c>
      <c r="Q10">
        <v>277.70940000000002</v>
      </c>
      <c r="R10">
        <v>260.49489999999997</v>
      </c>
      <c r="S10">
        <v>245.30690000000001</v>
      </c>
      <c r="T10">
        <v>231.43109999999999</v>
      </c>
      <c r="U10">
        <v>219.1216</v>
      </c>
    </row>
  </sheetData>
  <phoneticPr fontId="0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4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"Chg_T_neg_den _1.4A"</f>
        <v>Chg_T_neg_den _1.4A</v>
      </c>
      <c r="C1" s="1" t="str">
        <f>"Chg_T_neg_den _2A"</f>
        <v>Chg_T_neg_den _2A</v>
      </c>
      <c r="D1" s="1" t="str">
        <f>"Chg_T_neg_den _3A"</f>
        <v>Chg_T_neg_den _3A</v>
      </c>
      <c r="E1" s="1" t="str">
        <f>"Chg_T_neg_den _4A"</f>
        <v>Chg_T_neg_den _4A</v>
      </c>
      <c r="F1" s="1" t="str">
        <f>"Chg_T_neg_den _5A"</f>
        <v>Chg_T_neg_den _5A</v>
      </c>
      <c r="G1" s="1" t="str">
        <f>"Chg_T_neg_den _6A"</f>
        <v>Chg_T_neg_den _6A</v>
      </c>
      <c r="H1" s="1" t="str">
        <f>"Chg_T_neg_den _7A"</f>
        <v>Chg_T_neg_den _7A</v>
      </c>
      <c r="I1" s="1" t="str">
        <f>"Chg_T_neg_den _8A"</f>
        <v>Chg_T_neg_den _8A</v>
      </c>
      <c r="J1" s="1" t="str">
        <f>"Chg_T_neg_den _9A"</f>
        <v>Chg_T_neg_den _9A</v>
      </c>
      <c r="K1" s="1" t="str">
        <f>"Chg_T_neg_den _10A"</f>
        <v>Chg_T_neg_den _10A</v>
      </c>
      <c r="L1" s="1" t="str">
        <f>"Chg_T_neg_den _11A"</f>
        <v>Chg_T_neg_den _11A</v>
      </c>
      <c r="M1" s="1" t="str">
        <f>"Chg_T_neg_den _12A"</f>
        <v>Chg_T_neg_den _12A</v>
      </c>
      <c r="N1" s="1" t="str">
        <f>"Chg_T_neg_den _13A"</f>
        <v>Chg_T_neg_den _13A</v>
      </c>
      <c r="O1" s="1" t="str">
        <f>"Chg_T_neg_den _14A"</f>
        <v>Chg_T_neg_den _14A</v>
      </c>
      <c r="P1" s="1" t="str">
        <f>"Chg_T_neg_den _15A"</f>
        <v>Chg_T_neg_den _15A</v>
      </c>
      <c r="Q1" s="1" t="str">
        <f>"Chg_T_neg_den _16A"</f>
        <v>Chg_T_neg_den _16A</v>
      </c>
      <c r="R1" s="1" t="str">
        <f>"Chg_T_neg_den _17A"</f>
        <v>Chg_T_neg_den _17A</v>
      </c>
      <c r="S1" s="1" t="str">
        <f>"Chg_T_neg_den _18A"</f>
        <v>Chg_T_neg_den _18A</v>
      </c>
      <c r="T1" s="1" t="str">
        <f>"Chg_T_neg_den _19A"</f>
        <v>Chg_T_neg_den _19A</v>
      </c>
      <c r="U1" s="1" t="str">
        <f>"Chg_T_neg_den _20A"</f>
        <v>Chg_T_neg_den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-7.4898306768426412E-3</v>
      </c>
      <c r="C3">
        <v>-7.526599572807529E-3</v>
      </c>
      <c r="D3">
        <v>-7.9022129643935221E-3</v>
      </c>
      <c r="E3">
        <v>-8.0678292129350952E-3</v>
      </c>
      <c r="F3">
        <v>-8.1864922929656726E-3</v>
      </c>
      <c r="G3">
        <v>-8.1205494793780524E-3</v>
      </c>
      <c r="H3">
        <v>-8.1247307429392884E-3</v>
      </c>
      <c r="I3">
        <v>-8.1415712413922311E-3</v>
      </c>
      <c r="J3">
        <v>-8.0827635618638694E-3</v>
      </c>
      <c r="K3">
        <v>-8.1350378447905426E-3</v>
      </c>
      <c r="L3">
        <v>-8.146107685412237E-3</v>
      </c>
      <c r="M3">
        <v>-8.0337773679847128E-3</v>
      </c>
      <c r="N3">
        <v>-8.0345143098862239E-3</v>
      </c>
      <c r="O3">
        <v>-7.9833059600193015E-3</v>
      </c>
      <c r="P3">
        <v>-7.9276055083489123E-3</v>
      </c>
      <c r="Q3">
        <v>-7.7697408603088734E-3</v>
      </c>
      <c r="R3">
        <v>-7.7765197043557412E-3</v>
      </c>
      <c r="S3">
        <v>-7.7382001567786298E-3</v>
      </c>
      <c r="T3">
        <v>-7.8098028984946166E-3</v>
      </c>
      <c r="U3">
        <v>-7.8339584229284824E-3</v>
      </c>
    </row>
    <row r="4" spans="1:24">
      <c r="A4" t="s">
        <v>1</v>
      </c>
      <c r="B4">
        <v>-7.4734321367579178E-3</v>
      </c>
      <c r="C4">
        <v>-7.5432884701034592E-3</v>
      </c>
      <c r="D4">
        <v>-7.9115370272187183E-3</v>
      </c>
      <c r="E4">
        <v>-8.0921366391474344E-3</v>
      </c>
      <c r="F4">
        <v>-8.2142340489231511E-3</v>
      </c>
      <c r="G4">
        <v>-8.0788445703011986E-3</v>
      </c>
      <c r="H4">
        <v>-8.1640037915072031E-3</v>
      </c>
      <c r="I4">
        <v>-8.1090251691312062E-3</v>
      </c>
      <c r="J4">
        <v>-8.0644852300489882E-3</v>
      </c>
      <c r="K4">
        <v>-7.9528012211953526E-3</v>
      </c>
      <c r="L4">
        <v>-7.970649477300638E-3</v>
      </c>
      <c r="M4">
        <v>-7.9356713573238442E-3</v>
      </c>
      <c r="N4">
        <v>-8.0147623218318371E-3</v>
      </c>
      <c r="O4">
        <v>-7.9768399274907833E-3</v>
      </c>
      <c r="P4">
        <v>-7.9054971056411304E-3</v>
      </c>
      <c r="Q4">
        <v>-7.9568935716217478E-3</v>
      </c>
      <c r="R4">
        <v>-7.9047188281534519E-3</v>
      </c>
      <c r="S4">
        <v>-7.8795830530090268E-3</v>
      </c>
      <c r="T4">
        <v>-7.9297514749806005E-3</v>
      </c>
      <c r="U4">
        <v>-7.8286557869081553E-3</v>
      </c>
    </row>
    <row r="5" spans="1:24">
      <c r="A5" t="s">
        <v>2</v>
      </c>
      <c r="B5">
        <v>-7.5742335401719953E-3</v>
      </c>
      <c r="C5">
        <v>-7.6526507843020812E-3</v>
      </c>
      <c r="D5">
        <v>-7.9096138139788733E-3</v>
      </c>
      <c r="E5">
        <v>-8.0749378861340905E-3</v>
      </c>
      <c r="F5">
        <v>-8.1774600784665329E-3</v>
      </c>
      <c r="G5">
        <v>-8.2346046811130769E-3</v>
      </c>
      <c r="H5">
        <v>-8.2100356518956703E-3</v>
      </c>
      <c r="I5">
        <v>-8.2256551337004605E-3</v>
      </c>
      <c r="J5">
        <v>-8.0917207063305272E-3</v>
      </c>
      <c r="K5">
        <v>-8.0264102540933985E-3</v>
      </c>
      <c r="L5">
        <v>-7.9243970543068348E-3</v>
      </c>
      <c r="M5">
        <v>-7.9578577987417052E-3</v>
      </c>
      <c r="N5">
        <v>-7.9370980435488521E-3</v>
      </c>
      <c r="O5">
        <v>-7.9021056051830282E-3</v>
      </c>
      <c r="P5">
        <v>-7.8790945911526699E-3</v>
      </c>
      <c r="Q5">
        <v>-7.8781108949347155E-3</v>
      </c>
      <c r="R5">
        <v>-7.8801951784412908E-3</v>
      </c>
      <c r="S5">
        <v>-7.8112673757514762E-3</v>
      </c>
      <c r="T5">
        <v>-7.805931891813893E-3</v>
      </c>
      <c r="U5">
        <v>-7.7511374090586376E-3</v>
      </c>
    </row>
    <row r="6" spans="1:24">
      <c r="A6" t="s">
        <v>3</v>
      </c>
      <c r="B6">
        <v>-7.5226309331881194E-3</v>
      </c>
      <c r="C6">
        <v>-7.6076354742914505E-3</v>
      </c>
      <c r="D6">
        <v>-7.9932133006184423E-3</v>
      </c>
      <c r="E6">
        <v>-8.1399548640719681E-3</v>
      </c>
      <c r="F6">
        <v>-8.2101353778816204E-3</v>
      </c>
      <c r="G6">
        <v>-8.169204026443104E-3</v>
      </c>
      <c r="H6">
        <v>-8.1772748360263402E-3</v>
      </c>
      <c r="I6">
        <v>-8.2295555036803192E-3</v>
      </c>
      <c r="J6">
        <v>-8.1933566277048227E-3</v>
      </c>
      <c r="K6">
        <v>-8.1528321304466835E-3</v>
      </c>
      <c r="L6">
        <v>-8.1028094608019199E-3</v>
      </c>
      <c r="M6">
        <v>-8.0888137911863962E-3</v>
      </c>
      <c r="N6">
        <v>-8.0789389823387615E-3</v>
      </c>
      <c r="O6">
        <v>-8.0478812432542342E-3</v>
      </c>
      <c r="P6">
        <v>-7.9988332863210401E-3</v>
      </c>
      <c r="Q6">
        <v>-7.9076226148445724E-3</v>
      </c>
      <c r="R6">
        <v>-7.7401008014722087E-3</v>
      </c>
      <c r="S6">
        <v>-7.7541319217003662E-3</v>
      </c>
      <c r="T6">
        <v>-7.9024834501938961E-3</v>
      </c>
      <c r="U6">
        <v>-7.8421526666348999E-3</v>
      </c>
    </row>
    <row r="7" spans="1:24">
      <c r="A7" t="s">
        <v>4</v>
      </c>
      <c r="B7">
        <v>-7.5192070748057033E-3</v>
      </c>
      <c r="C7">
        <v>-7.5613197624917212E-3</v>
      </c>
      <c r="D7">
        <v>-7.7588284334789894E-3</v>
      </c>
      <c r="E7">
        <v>-7.7632321303825486E-3</v>
      </c>
      <c r="F7">
        <v>-7.8611533763367127E-3</v>
      </c>
      <c r="G7">
        <v>-7.8001062363200072E-3</v>
      </c>
      <c r="H7">
        <v>-7.6897064697241902E-3</v>
      </c>
      <c r="I7">
        <v>-7.6815219347666263E-3</v>
      </c>
      <c r="J7">
        <v>-7.6871788214530976E-3</v>
      </c>
      <c r="K7">
        <v>-7.6668894462322019E-3</v>
      </c>
      <c r="L7">
        <v>-7.6290492887938583E-3</v>
      </c>
      <c r="M7">
        <v>-7.6153016809057056E-3</v>
      </c>
      <c r="N7">
        <v>-7.5771841556420754E-3</v>
      </c>
      <c r="O7">
        <v>-7.5479103114740381E-3</v>
      </c>
      <c r="P7">
        <v>-7.6243018604827805E-3</v>
      </c>
      <c r="Q7">
        <v>-7.6107858591186973E-3</v>
      </c>
      <c r="R7">
        <v>-7.4693033249300864E-3</v>
      </c>
      <c r="S7">
        <v>-7.4386889963122087E-3</v>
      </c>
      <c r="T7">
        <v>-7.4382856756916487E-3</v>
      </c>
      <c r="U7">
        <v>-7.4376788174794007E-3</v>
      </c>
    </row>
    <row r="8" spans="1:24">
      <c r="A8" t="s">
        <v>42</v>
      </c>
      <c r="B8">
        <v>-7.528209624095312E-3</v>
      </c>
      <c r="C8">
        <v>-7.6006389133964772E-3</v>
      </c>
      <c r="D8">
        <v>-7.9456251233907607E-3</v>
      </c>
      <c r="E8">
        <v>-8.1041727083289734E-3</v>
      </c>
      <c r="F8">
        <v>-8.2196277008947851E-3</v>
      </c>
      <c r="G8">
        <v>-8.1653766604695838E-3</v>
      </c>
      <c r="H8">
        <v>-8.1093793328879445E-3</v>
      </c>
      <c r="I8">
        <v>-8.1959784688209313E-3</v>
      </c>
      <c r="J8">
        <v>-8.0857393804099429E-3</v>
      </c>
      <c r="K8">
        <v>-8.1219615652926899E-3</v>
      </c>
      <c r="L8">
        <v>-8.1349667988341486E-3</v>
      </c>
      <c r="M8">
        <v>-8.0556737812004786E-3</v>
      </c>
      <c r="N8">
        <v>-7.9991681638561119E-3</v>
      </c>
      <c r="O8">
        <v>-8.0665714729530619E-3</v>
      </c>
      <c r="P8">
        <v>-8.0458612092852624E-3</v>
      </c>
      <c r="Q8">
        <v>-8.0440539504152263E-3</v>
      </c>
      <c r="R8">
        <v>-7.9876629409152307E-3</v>
      </c>
      <c r="S8">
        <v>-7.9429441755873558E-3</v>
      </c>
      <c r="T8">
        <v>-7.9831638240997344E-3</v>
      </c>
      <c r="U8">
        <v>-7.8832641864536399E-3</v>
      </c>
    </row>
    <row r="9" spans="1:24">
      <c r="A9" t="s">
        <v>5</v>
      </c>
      <c r="B9">
        <v>-7.6284836021214423E-3</v>
      </c>
      <c r="C9">
        <v>-7.7442554553299276E-3</v>
      </c>
      <c r="D9">
        <v>-8.0740486550578434E-3</v>
      </c>
      <c r="E9">
        <v>-8.2014653088997858E-3</v>
      </c>
      <c r="F9">
        <v>-8.3347411364928427E-3</v>
      </c>
      <c r="G9">
        <v>-8.387059015563629E-3</v>
      </c>
      <c r="H9">
        <v>-8.3357658254711708E-3</v>
      </c>
      <c r="I9">
        <v>-8.3348704828555571E-3</v>
      </c>
      <c r="J9">
        <v>-8.2056824256021253E-3</v>
      </c>
      <c r="K9">
        <v>-8.1452260525184533E-3</v>
      </c>
      <c r="L9">
        <v>-8.1336247668235048E-3</v>
      </c>
      <c r="M9">
        <v>-8.0030850845228124E-3</v>
      </c>
      <c r="N9">
        <v>-7.9387652857774559E-3</v>
      </c>
      <c r="O9">
        <v>-7.8316690048357614E-3</v>
      </c>
      <c r="P9">
        <v>-7.8752661224065369E-3</v>
      </c>
      <c r="Q9">
        <v>-7.8028164607565715E-3</v>
      </c>
      <c r="R9">
        <v>-7.8531956433888876E-3</v>
      </c>
      <c r="S9">
        <v>-7.7905826604098422E-3</v>
      </c>
      <c r="T9">
        <v>-7.7711708443958171E-3</v>
      </c>
      <c r="U9">
        <v>-7.7759052073856803E-3</v>
      </c>
    </row>
    <row r="10" spans="1:24">
      <c r="A10" t="s">
        <v>6</v>
      </c>
      <c r="B10">
        <v>-7.512724313686164E-3</v>
      </c>
      <c r="C10">
        <v>-7.5269859577019151E-3</v>
      </c>
      <c r="D10">
        <v>-7.7532433210197749E-3</v>
      </c>
      <c r="E10">
        <v>-7.813342846274305E-3</v>
      </c>
      <c r="F10">
        <v>-7.8545558316690054E-3</v>
      </c>
      <c r="G10">
        <v>-7.83475498064049E-3</v>
      </c>
      <c r="H10">
        <v>-7.7528532675779308E-3</v>
      </c>
      <c r="I10">
        <v>-7.6353619028192128E-3</v>
      </c>
      <c r="J10">
        <v>-7.6195381058232229E-3</v>
      </c>
      <c r="K10">
        <v>-7.5977084601540372E-3</v>
      </c>
      <c r="L10">
        <v>-7.6761975873079549E-3</v>
      </c>
      <c r="M10">
        <v>-7.6805458906086801E-3</v>
      </c>
      <c r="N10">
        <v>-7.6332982486353226E-3</v>
      </c>
      <c r="O10">
        <v>-7.661324902839467E-3</v>
      </c>
      <c r="P10">
        <v>-7.6268130633093704E-3</v>
      </c>
      <c r="Q10">
        <v>-7.6237822702436425E-3</v>
      </c>
      <c r="R10">
        <v>-7.6005288395281454E-3</v>
      </c>
      <c r="S10">
        <v>-7.5299838691859052E-3</v>
      </c>
      <c r="T10">
        <v>-7.5159388690629741E-3</v>
      </c>
      <c r="U10">
        <v>-7.4399648414396396E-3</v>
      </c>
    </row>
  </sheetData>
  <phoneticPr fontId="0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5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"Chg_S_neg_den_1.4A"</f>
        <v>Chg_S_neg_den_1.4A</v>
      </c>
      <c r="C1" s="1" t="str">
        <f>"Chg_S_neg_den_2A"</f>
        <v>Chg_S_neg_den_2A</v>
      </c>
      <c r="D1" s="1" t="str">
        <f>"Chg_S_neg_den_3A"</f>
        <v>Chg_S_neg_den_3A</v>
      </c>
      <c r="E1" s="1" t="str">
        <f>"Chg_S_neg_den_4A"</f>
        <v>Chg_S_neg_den_4A</v>
      </c>
      <c r="F1" s="1" t="str">
        <f>"Chg_S_neg_den_5A"</f>
        <v>Chg_S_neg_den_5A</v>
      </c>
      <c r="G1" s="1" t="str">
        <f>"Chg_S_neg_den_6A"</f>
        <v>Chg_S_neg_den_6A</v>
      </c>
      <c r="H1" s="1" t="str">
        <f>"Chg_S_neg_den_7A"</f>
        <v>Chg_S_neg_den_7A</v>
      </c>
      <c r="I1" s="1" t="str">
        <f>"Chg_S_neg_den_8A"</f>
        <v>Chg_S_neg_den_8A</v>
      </c>
      <c r="J1" s="1" t="str">
        <f>"Chg_S_neg_den_9A"</f>
        <v>Chg_S_neg_den_9A</v>
      </c>
      <c r="K1" s="1" t="str">
        <f>"Chg_S_neg_den_10A"</f>
        <v>Chg_S_neg_den_10A</v>
      </c>
      <c r="L1" s="1" t="str">
        <f>"Chg_S_neg_den_11A"</f>
        <v>Chg_S_neg_den_11A</v>
      </c>
      <c r="M1" s="1" t="str">
        <f>"Chg_S_neg_den_12A"</f>
        <v>Chg_S_neg_den_12A</v>
      </c>
      <c r="N1" s="1" t="str">
        <f>"Chg_S_neg_den_13A"</f>
        <v>Chg_S_neg_den_13A</v>
      </c>
      <c r="O1" s="1" t="str">
        <f>"Chg_S_neg_den_14A"</f>
        <v>Chg_S_neg_den_14A</v>
      </c>
      <c r="P1" s="1" t="str">
        <f>"Chg_S_neg_den_15A"</f>
        <v>Chg_S_neg_den_15A</v>
      </c>
      <c r="Q1" s="1" t="str">
        <f>"Chg_S_neg_den_16A"</f>
        <v>Chg_S_neg_den_16A</v>
      </c>
      <c r="R1" s="1" t="str">
        <f>"Chg_S_neg_den_17A"</f>
        <v>Chg_S_neg_den_17A</v>
      </c>
      <c r="S1" s="1" t="str">
        <f>"Chg_S_neg_den_18A"</f>
        <v>Chg_S_neg_den_18A</v>
      </c>
      <c r="T1" s="1" t="str">
        <f>"Chg_S_neg_den_19A"</f>
        <v>Chg_S_neg_den_19A</v>
      </c>
      <c r="U1" s="1" t="str">
        <f>"Chg_S_neg_den_20A"</f>
        <v>Chg_S_neg_den_20A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-6.1656538410104463E-3</v>
      </c>
      <c r="C3">
        <v>-6.0892024465790239E-3</v>
      </c>
      <c r="D3">
        <v>-6.2252645802164828E-3</v>
      </c>
      <c r="E3">
        <v>-6.2612617836726231E-3</v>
      </c>
      <c r="F3">
        <v>-6.2490181800743559E-3</v>
      </c>
      <c r="G3">
        <v>-6.130843234383389E-3</v>
      </c>
      <c r="H3">
        <v>-6.0950212063391636E-3</v>
      </c>
      <c r="I3">
        <v>-6.0516175871198419E-3</v>
      </c>
      <c r="J3">
        <v>-5.9693280654369461E-3</v>
      </c>
      <c r="K3">
        <v>-5.980201101832199E-3</v>
      </c>
      <c r="L3">
        <v>-5.9830032779956072E-3</v>
      </c>
      <c r="M3">
        <v>-5.8673520239804905E-3</v>
      </c>
      <c r="N3">
        <v>-5.8752294719287739E-3</v>
      </c>
      <c r="O3">
        <v>-5.8550593881245656E-3</v>
      </c>
      <c r="P3">
        <v>-5.8184418920256536E-3</v>
      </c>
      <c r="Q3">
        <v>-5.7081320160573068E-3</v>
      </c>
      <c r="R3">
        <v>-5.7180236261263184E-3</v>
      </c>
      <c r="S3">
        <v>-5.6858340802589079E-3</v>
      </c>
      <c r="T3">
        <v>-5.6840554521690456E-3</v>
      </c>
      <c r="U3">
        <v>-5.659574340415658E-3</v>
      </c>
    </row>
    <row r="4" spans="1:24">
      <c r="A4" t="s">
        <v>1</v>
      </c>
      <c r="B4">
        <v>-6.1530586142310153E-3</v>
      </c>
      <c r="C4">
        <v>-6.1137080756791425E-3</v>
      </c>
      <c r="D4">
        <v>-6.2428717597127602E-3</v>
      </c>
      <c r="E4">
        <v>-6.2827706145145634E-3</v>
      </c>
      <c r="F4">
        <v>-6.2910020591988068E-3</v>
      </c>
      <c r="G4">
        <v>-6.100792652795577E-3</v>
      </c>
      <c r="H4">
        <v>-6.1436648630512954E-3</v>
      </c>
      <c r="I4">
        <v>-6.0666032198404378E-3</v>
      </c>
      <c r="J4">
        <v>-6.0107983344116801E-3</v>
      </c>
      <c r="K4">
        <v>-5.8967203567345796E-3</v>
      </c>
      <c r="L4">
        <v>-5.8935203311580517E-3</v>
      </c>
      <c r="M4">
        <v>-5.8481988184222898E-3</v>
      </c>
      <c r="N4">
        <v>-5.9014151758815898E-3</v>
      </c>
      <c r="O4">
        <v>-5.8815247606592274E-3</v>
      </c>
      <c r="P4">
        <v>-5.8233295467710871E-3</v>
      </c>
      <c r="Q4">
        <v>-5.8518202391486494E-3</v>
      </c>
      <c r="R4">
        <v>-5.8027235832056531E-3</v>
      </c>
      <c r="S4">
        <v>-5.7869044677974707E-3</v>
      </c>
      <c r="T4">
        <v>-5.7769375118823614E-3</v>
      </c>
      <c r="U4">
        <v>-5.6549140401289232E-3</v>
      </c>
    </row>
    <row r="5" spans="1:24">
      <c r="A5" t="s">
        <v>2</v>
      </c>
      <c r="B5">
        <v>-6.2948649616486182E-3</v>
      </c>
      <c r="C5">
        <v>-6.2724959301270157E-3</v>
      </c>
      <c r="D5">
        <v>-6.3132272758729784E-3</v>
      </c>
      <c r="E5">
        <v>-6.342822548593717E-3</v>
      </c>
      <c r="F5">
        <v>-6.3265558724276659E-3</v>
      </c>
      <c r="G5">
        <v>-6.297416883723558E-3</v>
      </c>
      <c r="H5">
        <v>-6.2521594603657492E-3</v>
      </c>
      <c r="I5">
        <v>-6.2333214515623995E-3</v>
      </c>
      <c r="J5">
        <v>-6.0946118736688558E-3</v>
      </c>
      <c r="K5">
        <v>-6.03054820219877E-3</v>
      </c>
      <c r="L5">
        <v>-5.9131521927007118E-3</v>
      </c>
      <c r="M5">
        <v>-5.9429023689198633E-3</v>
      </c>
      <c r="N5">
        <v>-5.906458312400927E-3</v>
      </c>
      <c r="O5">
        <v>-5.8539682047616271E-3</v>
      </c>
      <c r="P5">
        <v>-5.7921428204293522E-3</v>
      </c>
      <c r="Q5">
        <v>-5.7835282001844016E-3</v>
      </c>
      <c r="R5">
        <v>-5.7618305505964373E-3</v>
      </c>
      <c r="S5">
        <v>-5.7419544500852083E-3</v>
      </c>
      <c r="T5">
        <v>-5.7085133574611736E-3</v>
      </c>
      <c r="U5">
        <v>-5.6449036035254212E-3</v>
      </c>
    </row>
    <row r="6" spans="1:24">
      <c r="A6" t="s">
        <v>3</v>
      </c>
      <c r="B6">
        <v>-6.1976966265008381E-3</v>
      </c>
      <c r="C6">
        <v>-6.161611300471664E-3</v>
      </c>
      <c r="D6">
        <v>-6.2952327662764438E-3</v>
      </c>
      <c r="E6">
        <v>-6.3157772637957394E-3</v>
      </c>
      <c r="F6">
        <v>-6.2869615854349494E-3</v>
      </c>
      <c r="G6">
        <v>-6.1889287960355203E-3</v>
      </c>
      <c r="H6">
        <v>-6.1615744517396227E-3</v>
      </c>
      <c r="I6">
        <v>-6.1653775706278736E-3</v>
      </c>
      <c r="J6">
        <v>-6.0887036358905928E-3</v>
      </c>
      <c r="K6">
        <v>-6.0142731129072726E-3</v>
      </c>
      <c r="L6">
        <v>-5.9561866071442364E-3</v>
      </c>
      <c r="M6">
        <v>-5.93562655955904E-3</v>
      </c>
      <c r="N6">
        <v>-5.9299891626818655E-3</v>
      </c>
      <c r="O6">
        <v>-5.8995469499099279E-3</v>
      </c>
      <c r="P6">
        <v>-5.8558275389818835E-3</v>
      </c>
      <c r="Q6">
        <v>-5.8073678566083068E-3</v>
      </c>
      <c r="R6">
        <v>-5.6788431863307896E-3</v>
      </c>
      <c r="S6">
        <v>-5.6874602576464208E-3</v>
      </c>
      <c r="T6">
        <v>-5.7227173635195274E-3</v>
      </c>
      <c r="U6">
        <v>-5.6331785266068466E-3</v>
      </c>
    </row>
    <row r="7" spans="1:24">
      <c r="A7" t="s">
        <v>4</v>
      </c>
      <c r="B7">
        <v>-6.2409276580647471E-3</v>
      </c>
      <c r="C7">
        <v>-6.1893262171379762E-3</v>
      </c>
      <c r="D7">
        <v>-6.2018555540386639E-3</v>
      </c>
      <c r="E7">
        <v>-6.1537705687317173E-3</v>
      </c>
      <c r="F7">
        <v>-6.157736000616751E-3</v>
      </c>
      <c r="G7">
        <v>-6.013625821337772E-3</v>
      </c>
      <c r="H7">
        <v>-5.8848288580745766E-3</v>
      </c>
      <c r="I7">
        <v>-5.7994869929837512E-3</v>
      </c>
      <c r="J7">
        <v>-5.8073311390145739E-3</v>
      </c>
      <c r="K7">
        <v>-5.7660519473704446E-3</v>
      </c>
      <c r="L7">
        <v>-5.7124469684241485E-3</v>
      </c>
      <c r="M7">
        <v>-5.6888018531431129E-3</v>
      </c>
      <c r="N7">
        <v>-5.6685686952874645E-3</v>
      </c>
      <c r="O7">
        <v>-5.6241928288767954E-3</v>
      </c>
      <c r="P7">
        <v>-5.6910109759811534E-3</v>
      </c>
      <c r="Q7">
        <v>-5.6963847655850264E-3</v>
      </c>
      <c r="R7">
        <v>-5.5817847383389267E-3</v>
      </c>
      <c r="S7">
        <v>-5.5507574620251429E-3</v>
      </c>
      <c r="T7">
        <v>-5.5247304910105146E-3</v>
      </c>
      <c r="U7">
        <v>-5.511165741365817E-3</v>
      </c>
    </row>
    <row r="8" spans="1:24">
      <c r="A8" t="s">
        <v>42</v>
      </c>
      <c r="B8">
        <v>-6.1971709055700453E-3</v>
      </c>
      <c r="C8">
        <v>-6.1637790467234657E-3</v>
      </c>
      <c r="D8">
        <v>-6.2667033980185948E-3</v>
      </c>
      <c r="E8">
        <v>-6.2943812126267139E-3</v>
      </c>
      <c r="F8">
        <v>-6.2732276914158518E-3</v>
      </c>
      <c r="G8">
        <v>-6.1737901549121883E-3</v>
      </c>
      <c r="H8">
        <v>-6.0986428158234327E-3</v>
      </c>
      <c r="I8">
        <v>-6.1377595793381725E-3</v>
      </c>
      <c r="J8">
        <v>-6.0240392481937096E-3</v>
      </c>
      <c r="K8">
        <v>-5.9880538349224351E-3</v>
      </c>
      <c r="L8">
        <v>-5.959261067365329E-3</v>
      </c>
      <c r="M8">
        <v>-5.8900178738104363E-3</v>
      </c>
      <c r="N8">
        <v>-5.8487591834457476E-3</v>
      </c>
      <c r="O8">
        <v>-5.9125937439249553E-3</v>
      </c>
      <c r="P8">
        <v>-5.8969639577480665E-3</v>
      </c>
      <c r="Q8">
        <v>-5.9063739189558944E-3</v>
      </c>
      <c r="R8">
        <v>-5.81545874779034E-3</v>
      </c>
      <c r="S8">
        <v>-5.7891481678588293E-3</v>
      </c>
      <c r="T8">
        <v>-5.7487111143977405E-3</v>
      </c>
      <c r="U8">
        <v>-5.6159864348706784E-3</v>
      </c>
    </row>
    <row r="9" spans="1:24">
      <c r="A9" t="s">
        <v>5</v>
      </c>
      <c r="B9">
        <v>-6.3062900446250953E-3</v>
      </c>
      <c r="C9">
        <v>-6.3173976328707851E-3</v>
      </c>
      <c r="D9">
        <v>-6.4502942030862723E-3</v>
      </c>
      <c r="E9">
        <v>-6.503085604357986E-3</v>
      </c>
      <c r="F9">
        <v>-6.5341359080212944E-3</v>
      </c>
      <c r="G9">
        <v>-6.5268522496390296E-3</v>
      </c>
      <c r="H9">
        <v>-6.4183535375602887E-3</v>
      </c>
      <c r="I9">
        <v>-6.3843788656571055E-3</v>
      </c>
      <c r="J9">
        <v>-6.2572939504504871E-3</v>
      </c>
      <c r="K9">
        <v>-6.1871017306239246E-3</v>
      </c>
      <c r="L9">
        <v>-6.189803703436649E-3</v>
      </c>
      <c r="M9">
        <v>-6.0410521336688198E-3</v>
      </c>
      <c r="N9">
        <v>-5.9421789315590246E-3</v>
      </c>
      <c r="O9">
        <v>-5.8586834515649095E-3</v>
      </c>
      <c r="P9">
        <v>-5.9019651054920807E-3</v>
      </c>
      <c r="Q9">
        <v>-5.867878651305892E-3</v>
      </c>
      <c r="R9">
        <v>-5.8912983682702065E-3</v>
      </c>
      <c r="S9">
        <v>-5.8547458371024253E-3</v>
      </c>
      <c r="T9">
        <v>-5.8209271465871227E-3</v>
      </c>
      <c r="U9">
        <v>-5.7603918266944864E-3</v>
      </c>
    </row>
    <row r="10" spans="1:24">
      <c r="A10" t="s">
        <v>6</v>
      </c>
      <c r="B10">
        <v>-6.2171888670130519E-3</v>
      </c>
      <c r="C10">
        <v>-6.1355996202181826E-3</v>
      </c>
      <c r="D10">
        <v>-6.1529197481725367E-3</v>
      </c>
      <c r="E10">
        <v>-6.1193567204586297E-3</v>
      </c>
      <c r="F10">
        <v>-6.0854591629900447E-3</v>
      </c>
      <c r="G10">
        <v>-5.9848035206294366E-3</v>
      </c>
      <c r="H10">
        <v>-5.8758520171444508E-3</v>
      </c>
      <c r="I10">
        <v>-5.7439408628913603E-3</v>
      </c>
      <c r="J10">
        <v>-5.6680909537295526E-3</v>
      </c>
      <c r="K10">
        <v>-5.5874989431503068E-3</v>
      </c>
      <c r="L10">
        <v>-5.6397051536364621E-3</v>
      </c>
      <c r="M10">
        <v>-5.6311459261941194E-3</v>
      </c>
      <c r="N10">
        <v>-5.6059445575135092E-3</v>
      </c>
      <c r="O10">
        <v>-5.606390108400223E-3</v>
      </c>
      <c r="P10">
        <v>-5.563095257964344E-3</v>
      </c>
      <c r="Q10">
        <v>-5.6036374483127514E-3</v>
      </c>
      <c r="R10">
        <v>-5.5791007496101483E-3</v>
      </c>
      <c r="S10">
        <v>-5.5137698204221989E-3</v>
      </c>
      <c r="T10">
        <v>-5.4802619805568789E-3</v>
      </c>
      <c r="U10">
        <v>-5.4247888409386536E-3</v>
      </c>
    </row>
  </sheetData>
  <phoneticPr fontId="0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6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"Chg_T_1.4A"</f>
        <v>Chg_T_1.4A</v>
      </c>
      <c r="C1" s="1" t="str">
        <f>"Chg_T_2A"</f>
        <v>Chg_T_2A</v>
      </c>
      <c r="D1" s="1" t="str">
        <f>"Chg_T_3A"</f>
        <v>Chg_T_3A</v>
      </c>
      <c r="E1" s="1" t="str">
        <f>"Chg_T_4A"</f>
        <v>Chg_T_4A</v>
      </c>
      <c r="F1" s="1" t="str">
        <f>"Chg_T_5A"</f>
        <v>Chg_T_5A</v>
      </c>
      <c r="G1" s="1" t="str">
        <f>"Chg_T_6A"</f>
        <v>Chg_T_6A</v>
      </c>
      <c r="H1" s="1" t="str">
        <f>"Chg_T_7A"</f>
        <v>Chg_T_7A</v>
      </c>
      <c r="I1" s="1" t="str">
        <f>"Chg_T_8A"</f>
        <v>Chg_T_8A</v>
      </c>
      <c r="J1" s="1" t="str">
        <f>"Chg_T_9A"</f>
        <v>Chg_T_9A</v>
      </c>
      <c r="K1" s="1" t="str">
        <f>"Chg_T_10A"</f>
        <v>Chg_T_10A</v>
      </c>
      <c r="L1" s="1" t="str">
        <f>"Chg_T_11A"</f>
        <v>Chg_T_11A</v>
      </c>
      <c r="M1" s="1" t="str">
        <f>"Chg_T_12A"</f>
        <v>Chg_T_12A</v>
      </c>
      <c r="N1" s="1" t="str">
        <f>"Chg_T_13A"</f>
        <v>Chg_T_13A</v>
      </c>
      <c r="O1" s="1" t="str">
        <f>"Chg_T_14A"</f>
        <v>Chg_T_14A</v>
      </c>
      <c r="P1" s="1" t="str">
        <f>"Chg_T_15A"</f>
        <v>Chg_T_15A</v>
      </c>
      <c r="Q1" s="1" t="str">
        <f>"Chg_T_16A"</f>
        <v>Chg_T_16A</v>
      </c>
      <c r="R1" s="1" t="str">
        <f>"Chg_T_17A"</f>
        <v>Chg_T_17A</v>
      </c>
      <c r="S1" s="1" t="str">
        <f>"Chg_T_18A"</f>
        <v>Chg_T_18A</v>
      </c>
      <c r="T1" s="1" t="str">
        <f>"Chg_T_19A"</f>
        <v>Chg_T_19A</v>
      </c>
      <c r="U1" s="1" t="str">
        <f>"Chg_T_20A"</f>
        <v>Chg_T_20A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-34.655349999999999</v>
      </c>
      <c r="C3">
        <v>-19.584660000000003</v>
      </c>
      <c r="D3">
        <v>-10.134259999999999</v>
      </c>
      <c r="E3">
        <v>-6.2807329999999997</v>
      </c>
      <c r="F3">
        <v>-4.2382289999999996</v>
      </c>
      <c r="G3">
        <v>-2.9403549999999994</v>
      </c>
      <c r="H3">
        <v>-2.2637140000000002</v>
      </c>
      <c r="I3">
        <v>-1.7188749999999997</v>
      </c>
      <c r="J3">
        <v>-1.329577</v>
      </c>
      <c r="K3">
        <v>-1.1706270000000001</v>
      </c>
      <c r="L3">
        <v>-1.0683790000000002</v>
      </c>
      <c r="M3">
        <v>-0.84278999999999993</v>
      </c>
      <c r="N3">
        <v>-0.75069099999999978</v>
      </c>
      <c r="O3">
        <v>-0.67813100000000004</v>
      </c>
      <c r="P3">
        <v>-0.57237000000000005</v>
      </c>
      <c r="Q3">
        <v>-0.49091600000000013</v>
      </c>
      <c r="R3">
        <v>-0.45818800000000026</v>
      </c>
      <c r="S3">
        <v>-0.40893200000000007</v>
      </c>
      <c r="T3">
        <v>-0.36289499999999997</v>
      </c>
      <c r="U3">
        <v>-0.34689899999999985</v>
      </c>
    </row>
    <row r="4" spans="1:24">
      <c r="A4" t="s">
        <v>1</v>
      </c>
      <c r="B4">
        <v>-34.794849999999997</v>
      </c>
      <c r="C4">
        <v>-19.831969999999998</v>
      </c>
      <c r="D4">
        <v>-10.313089999999999</v>
      </c>
      <c r="E4">
        <v>-6.3647180000000008</v>
      </c>
      <c r="F4">
        <v>-4.364533999999999</v>
      </c>
      <c r="G4">
        <v>-2.9453230000000001</v>
      </c>
      <c r="H4">
        <v>-2.3600089999999994</v>
      </c>
      <c r="I4">
        <v>-1.8225569999999998</v>
      </c>
      <c r="J4">
        <v>-1.4945540000000004</v>
      </c>
      <c r="K4">
        <v>-1.1776790000000004</v>
      </c>
      <c r="L4">
        <v>-0.99253100000000005</v>
      </c>
      <c r="M4">
        <v>-0.85095600000000005</v>
      </c>
      <c r="N4">
        <v>-0.79615800000000014</v>
      </c>
      <c r="O4">
        <v>-0.69104699999999997</v>
      </c>
      <c r="P4">
        <v>-0.59224299999999985</v>
      </c>
      <c r="Q4">
        <v>-0.55245499999999992</v>
      </c>
      <c r="R4">
        <v>-0.49083900000000003</v>
      </c>
      <c r="S4">
        <v>-0.457673</v>
      </c>
      <c r="T4">
        <v>-0.40506299999999995</v>
      </c>
      <c r="U4">
        <v>-0.32501100000000016</v>
      </c>
    </row>
    <row r="5" spans="1:24">
      <c r="A5" t="s">
        <v>2</v>
      </c>
      <c r="B5">
        <v>-36.449280000000002</v>
      </c>
      <c r="C5">
        <v>-21.620530000000002</v>
      </c>
      <c r="D5">
        <v>-11.642248999999998</v>
      </c>
      <c r="E5">
        <v>-7.5007930000000007</v>
      </c>
      <c r="F5">
        <v>-5.2458300000000007</v>
      </c>
      <c r="G5">
        <v>-3.9017330000000001</v>
      </c>
      <c r="H5">
        <v>-3.0134389999999995</v>
      </c>
      <c r="I5">
        <v>-2.4454390000000004</v>
      </c>
      <c r="J5">
        <v>-1.924569</v>
      </c>
      <c r="K5">
        <v>-1.621683</v>
      </c>
      <c r="L5">
        <v>-1.2929729999999999</v>
      </c>
      <c r="M5">
        <v>-1.2143400000000002</v>
      </c>
      <c r="N5">
        <v>-1.0820639999999999</v>
      </c>
      <c r="O5">
        <v>-0.92947700000000011</v>
      </c>
      <c r="P5">
        <v>-0.80176300000000023</v>
      </c>
      <c r="Q5">
        <v>-0.72693700000000017</v>
      </c>
      <c r="R5">
        <v>-0.63229399999999991</v>
      </c>
      <c r="S5">
        <v>-0.58587900000000004</v>
      </c>
      <c r="T5">
        <v>-0.5202380000000002</v>
      </c>
      <c r="U5">
        <v>-0.48180999999999985</v>
      </c>
    </row>
    <row r="6" spans="1:24">
      <c r="A6" t="s">
        <v>3</v>
      </c>
      <c r="B6">
        <v>-35.063720000000004</v>
      </c>
      <c r="C6">
        <v>-20.110379999999999</v>
      </c>
      <c r="D6">
        <v>-10.472548999999999</v>
      </c>
      <c r="E6">
        <v>-6.4902489999999995</v>
      </c>
      <c r="F6">
        <v>-4.419486</v>
      </c>
      <c r="G6">
        <v>-3.0764179999999994</v>
      </c>
      <c r="H6">
        <v>-2.3596289999999995</v>
      </c>
      <c r="I6">
        <v>-1.8805319999999996</v>
      </c>
      <c r="J6">
        <v>-1.4619699999999995</v>
      </c>
      <c r="K6">
        <v>-1.2259759999999997</v>
      </c>
      <c r="L6">
        <v>-1.0596179999999999</v>
      </c>
      <c r="M6">
        <v>-0.89881399999999978</v>
      </c>
      <c r="N6">
        <v>-0.79814100000000021</v>
      </c>
      <c r="O6">
        <v>-0.66424299999999969</v>
      </c>
      <c r="P6">
        <v>-0.56020200000000009</v>
      </c>
      <c r="Q6">
        <v>-0.5075550000000002</v>
      </c>
      <c r="R6">
        <v>-0.44077100000000002</v>
      </c>
      <c r="S6">
        <v>-0.42892399999999986</v>
      </c>
      <c r="T6">
        <v>-0.35819000000000001</v>
      </c>
      <c r="U6">
        <v>-0.31269199999999997</v>
      </c>
    </row>
    <row r="7" spans="1:24">
      <c r="A7" t="s">
        <v>4</v>
      </c>
      <c r="B7">
        <v>-35.589030000000008</v>
      </c>
      <c r="C7">
        <v>-21.085760000000001</v>
      </c>
      <c r="D7">
        <v>-11.026238000000001</v>
      </c>
      <c r="E7">
        <v>-7.0276839999999998</v>
      </c>
      <c r="F7">
        <v>-4.9382390000000003</v>
      </c>
      <c r="G7">
        <v>-3.3794550000000001</v>
      </c>
      <c r="H7">
        <v>-2.5451670000000002</v>
      </c>
      <c r="I7">
        <v>-1.8876679999999997</v>
      </c>
      <c r="J7">
        <v>-1.631507</v>
      </c>
      <c r="K7">
        <v>-1.3977759999999999</v>
      </c>
      <c r="L7">
        <v>-1.173244</v>
      </c>
      <c r="M7">
        <v>-1.0209339999999998</v>
      </c>
      <c r="N7">
        <v>-0.93011000000000021</v>
      </c>
      <c r="O7">
        <v>-0.818608</v>
      </c>
      <c r="P7">
        <v>-0.78687300000000016</v>
      </c>
      <c r="Q7">
        <v>-0.71239600000000003</v>
      </c>
      <c r="R7">
        <v>-0.62015799999999999</v>
      </c>
      <c r="S7">
        <v>-0.56202900000000011</v>
      </c>
      <c r="T7">
        <v>-0.52106000000000008</v>
      </c>
      <c r="U7">
        <v>-0.4937720000000001</v>
      </c>
    </row>
    <row r="8" spans="1:24">
      <c r="A8" t="s">
        <v>42</v>
      </c>
      <c r="B8">
        <v>-35.042019999999994</v>
      </c>
      <c r="C8">
        <v>-20.236809999999998</v>
      </c>
      <c r="D8">
        <v>-10.484990999999999</v>
      </c>
      <c r="E8">
        <v>-6.40306</v>
      </c>
      <c r="F8">
        <v>-4.3496319999999997</v>
      </c>
      <c r="G8">
        <v>-3.0788869999999999</v>
      </c>
      <c r="H8">
        <v>-2.3500670000000001</v>
      </c>
      <c r="I8">
        <v>-1.9264560000000004</v>
      </c>
      <c r="J8">
        <v>-1.4785340000000002</v>
      </c>
      <c r="K8">
        <v>-1.1806200000000002</v>
      </c>
      <c r="L8">
        <v>-0.96034100000000011</v>
      </c>
      <c r="M8">
        <v>-0.79755799999999999</v>
      </c>
      <c r="N8">
        <v>-0.67699099999999968</v>
      </c>
      <c r="O8">
        <v>-0.62869299999999995</v>
      </c>
      <c r="P8">
        <v>-0.60658999999999996</v>
      </c>
      <c r="Q8">
        <v>-0.59653200000000006</v>
      </c>
      <c r="R8">
        <v>-0.48811099999999974</v>
      </c>
      <c r="S8">
        <v>-0.47373100000000012</v>
      </c>
      <c r="T8">
        <v>-0.40003900000000003</v>
      </c>
      <c r="U8">
        <v>-0.32309799999999989</v>
      </c>
    </row>
    <row r="9" spans="1:24">
      <c r="A9" t="s">
        <v>5</v>
      </c>
      <c r="B9">
        <v>-35.783640000000005</v>
      </c>
      <c r="C9">
        <v>-21.40896</v>
      </c>
      <c r="D9">
        <v>-11.836955</v>
      </c>
      <c r="E9">
        <v>-7.9151669999999994</v>
      </c>
      <c r="F9">
        <v>-5.6356230000000007</v>
      </c>
      <c r="G9">
        <v>-4.2484599999999997</v>
      </c>
      <c r="H9">
        <v>-3.1915399999999998</v>
      </c>
      <c r="I9">
        <v>-2.5885720000000001</v>
      </c>
      <c r="J9">
        <v>-2.1545350000000005</v>
      </c>
      <c r="K9">
        <v>-1.8069209999999996</v>
      </c>
      <c r="L9">
        <v>-1.5778530000000002</v>
      </c>
      <c r="M9">
        <v>-1.2943030000000002</v>
      </c>
      <c r="N9">
        <v>-1.078743</v>
      </c>
      <c r="O9">
        <v>-0.94581300000000024</v>
      </c>
      <c r="P9">
        <v>-0.90238499999999999</v>
      </c>
      <c r="Q9">
        <v>-0.85860599999999998</v>
      </c>
      <c r="R9">
        <v>-0.79268399999999994</v>
      </c>
      <c r="S9">
        <v>-0.73428300000000002</v>
      </c>
      <c r="T9">
        <v>-0.67295299999999991</v>
      </c>
      <c r="U9">
        <v>-0.611097</v>
      </c>
    </row>
    <row r="10" spans="1:24">
      <c r="A10" t="s">
        <v>6</v>
      </c>
      <c r="B10">
        <v>-35.331199999999995</v>
      </c>
      <c r="C10">
        <v>-20.46096</v>
      </c>
      <c r="D10">
        <v>-10.592530000000002</v>
      </c>
      <c r="E10">
        <v>-6.5319789999999998</v>
      </c>
      <c r="F10">
        <v>-4.4887360000000003</v>
      </c>
      <c r="G10">
        <v>-3.1181030000000005</v>
      </c>
      <c r="H10">
        <v>-2.28295</v>
      </c>
      <c r="I10">
        <v>-1.755293</v>
      </c>
      <c r="J10">
        <v>-1.3577780000000002</v>
      </c>
      <c r="K10">
        <v>-1.0241179999999996</v>
      </c>
      <c r="L10">
        <v>-0.90476100000000015</v>
      </c>
      <c r="M10">
        <v>-0.76452299999999962</v>
      </c>
      <c r="N10">
        <v>-0.66638000000000019</v>
      </c>
      <c r="O10">
        <v>-0.57883899999999988</v>
      </c>
      <c r="P10">
        <v>-0.50740100000000021</v>
      </c>
      <c r="Q10">
        <v>-0.51795599999999986</v>
      </c>
      <c r="R10">
        <v>-0.45866600000000002</v>
      </c>
      <c r="S10">
        <v>-0.41082099999999988</v>
      </c>
      <c r="T10">
        <v>-0.37430999999999992</v>
      </c>
      <c r="U10">
        <v>-0.31614600000000004</v>
      </c>
    </row>
  </sheetData>
  <phoneticPr fontId="0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7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"Chg_T_den _1.4A"</f>
        <v>Chg_T_den _1.4A</v>
      </c>
      <c r="C1" s="1" t="str">
        <f>"Chg_T_den _2A"</f>
        <v>Chg_T_den _2A</v>
      </c>
      <c r="D1" s="1" t="str">
        <f>"Chg_T_den _3A"</f>
        <v>Chg_T_den _3A</v>
      </c>
      <c r="E1" s="1" t="str">
        <f>"Chg_T_den _4A"</f>
        <v>Chg_T_den _4A</v>
      </c>
      <c r="F1" s="1" t="str">
        <f>"Chg_T_den _5A"</f>
        <v>Chg_T_den _5A</v>
      </c>
      <c r="G1" s="1" t="str">
        <f>"Chg_T_den _6A"</f>
        <v>Chg_T_den _6A</v>
      </c>
      <c r="H1" s="1" t="str">
        <f>"Chg_T_den _7A"</f>
        <v>Chg_T_den _7A</v>
      </c>
      <c r="I1" s="1" t="str">
        <f>"Chg_T_den _8A"</f>
        <v>Chg_T_den _8A</v>
      </c>
      <c r="J1" s="1" t="str">
        <f>"Chg_T_den _9A"</f>
        <v>Chg_T_den _9A</v>
      </c>
      <c r="K1" s="1" t="str">
        <f>"Chg_T_den _10A"</f>
        <v>Chg_T_den _10A</v>
      </c>
      <c r="L1" s="1" t="str">
        <f>"Chg_T_den _11A"</f>
        <v>Chg_T_den _11A</v>
      </c>
      <c r="M1" s="1" t="str">
        <f>"Chg_T_den _12A"</f>
        <v>Chg_T_den _12A</v>
      </c>
      <c r="N1" s="1" t="str">
        <f>"Chg_T_den _13A"</f>
        <v>Chg_T_den _13A</v>
      </c>
      <c r="O1" s="1" t="str">
        <f>"Chg_T_den _14A"</f>
        <v>Chg_T_den _14A</v>
      </c>
      <c r="P1" s="1" t="str">
        <f>"Chg_T_den _15A"</f>
        <v>Chg_T_den _15A</v>
      </c>
      <c r="Q1" s="1" t="str">
        <f>"Chg_T_den _16A"</f>
        <v>Chg_T_den _16A</v>
      </c>
      <c r="R1" s="1" t="str">
        <f>"Chg_T_den _17A"</f>
        <v>Chg_T_den _17A</v>
      </c>
      <c r="S1" s="1" t="str">
        <f>"Chg_T_den _18A"</f>
        <v>Chg_T_den _18A</v>
      </c>
      <c r="T1" s="1" t="str">
        <f>"Chg_T_den _19A"</f>
        <v>Chg_T_den _19A</v>
      </c>
      <c r="U1" s="1" t="str">
        <f>"Chg_T_den _20A"</f>
        <v>Chg_T_den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-4.0369376942148722E-3</v>
      </c>
      <c r="C3">
        <v>-3.5194660310372524E-3</v>
      </c>
      <c r="D3">
        <v>-3.1306514547393984E-3</v>
      </c>
      <c r="E3">
        <v>-2.9136401359973019E-3</v>
      </c>
      <c r="F3">
        <v>-2.6742787157088663E-3</v>
      </c>
      <c r="G3">
        <v>-2.3741163741769302E-3</v>
      </c>
      <c r="H3">
        <v>-2.2379993870428774E-3</v>
      </c>
      <c r="I3">
        <v>-2.0166603037717222E-3</v>
      </c>
      <c r="J3">
        <v>-1.8103995747339229E-3</v>
      </c>
      <c r="K3">
        <v>-1.8003887679617552E-3</v>
      </c>
      <c r="L3">
        <v>-1.8327184411225915E-3</v>
      </c>
      <c r="M3">
        <v>-1.6123012314890679E-3</v>
      </c>
      <c r="N3">
        <v>-1.5774955282393361E-3</v>
      </c>
      <c r="O3">
        <v>-1.5473519153109418E-3</v>
      </c>
      <c r="P3">
        <v>-1.4270900522570721E-3</v>
      </c>
      <c r="Q3">
        <v>-1.3111757463095176E-3</v>
      </c>
      <c r="R3">
        <v>-1.2970533866662145E-3</v>
      </c>
      <c r="S3">
        <v>-1.2299668545510329E-3</v>
      </c>
      <c r="T3">
        <v>-1.1619615487569496E-3</v>
      </c>
      <c r="U3">
        <v>-1.1564194297692348E-3</v>
      </c>
    </row>
    <row r="4" spans="1:24">
      <c r="A4" t="s">
        <v>1</v>
      </c>
      <c r="B4">
        <v>-4.0366027888004818E-3</v>
      </c>
      <c r="C4">
        <v>-3.5562859493497466E-3</v>
      </c>
      <c r="D4">
        <v>-3.1678614004386988E-3</v>
      </c>
      <c r="E4">
        <v>-2.9532845319915442E-3</v>
      </c>
      <c r="F4">
        <v>-2.7568844195712309E-3</v>
      </c>
      <c r="G4">
        <v>-2.3665671665776119E-3</v>
      </c>
      <c r="H4">
        <v>-2.3426243844430475E-3</v>
      </c>
      <c r="I4">
        <v>-2.1371757750699E-3</v>
      </c>
      <c r="J4">
        <v>-2.0208732642515775E-3</v>
      </c>
      <c r="K4">
        <v>-1.804448089054327E-3</v>
      </c>
      <c r="L4">
        <v>-1.7089085331187324E-3</v>
      </c>
      <c r="M4">
        <v>-1.62439924185692E-3</v>
      </c>
      <c r="N4">
        <v>-1.670279292479193E-3</v>
      </c>
      <c r="O4">
        <v>-1.5649506598501962E-3</v>
      </c>
      <c r="P4">
        <v>-1.4384637487063383E-3</v>
      </c>
      <c r="Q4">
        <v>-1.4420308580586725E-3</v>
      </c>
      <c r="R4">
        <v>-1.3626494374242976E-3</v>
      </c>
      <c r="S4">
        <v>-1.3412594515721679E-3</v>
      </c>
      <c r="T4">
        <v>-1.2792306103539032E-3</v>
      </c>
      <c r="U4">
        <v>-1.0820466569385647E-3</v>
      </c>
    </row>
    <row r="5" spans="1:24">
      <c r="A5" t="s">
        <v>2</v>
      </c>
      <c r="B5">
        <v>-4.3306181583495371E-3</v>
      </c>
      <c r="C5">
        <v>-3.9565112843816435E-3</v>
      </c>
      <c r="D5">
        <v>-3.5969102824573887E-3</v>
      </c>
      <c r="E5">
        <v>-3.4663947760021443E-3</v>
      </c>
      <c r="F5">
        <v>-3.2959495450801371E-3</v>
      </c>
      <c r="G5">
        <v>-3.1050340486860001E-3</v>
      </c>
      <c r="H5">
        <v>-2.928953340882251E-3</v>
      </c>
      <c r="I5">
        <v>-2.8329034155670047E-3</v>
      </c>
      <c r="J5">
        <v>-2.5879198966321407E-3</v>
      </c>
      <c r="K5">
        <v>-2.5021466041532333E-3</v>
      </c>
      <c r="L5">
        <v>-2.2551557023055566E-3</v>
      </c>
      <c r="M5">
        <v>-2.3214898491932027E-3</v>
      </c>
      <c r="N5">
        <v>-2.2697489516666459E-3</v>
      </c>
      <c r="O5">
        <v>-2.1186727730933071E-3</v>
      </c>
      <c r="P5">
        <v>-1.962368657436076E-3</v>
      </c>
      <c r="Q5">
        <v>-1.8981520528061015E-3</v>
      </c>
      <c r="R5">
        <v>-1.7751588267051778E-3</v>
      </c>
      <c r="S5">
        <v>-1.7485741402311821E-3</v>
      </c>
      <c r="T5">
        <v>-1.6436778159196362E-3</v>
      </c>
      <c r="U5">
        <v>-1.6020138805071403E-3</v>
      </c>
    </row>
    <row r="6" spans="1:24">
      <c r="A6" t="s">
        <v>3</v>
      </c>
      <c r="B6">
        <v>-4.0796506253501404E-3</v>
      </c>
      <c r="C6">
        <v>-3.5978389758643415E-3</v>
      </c>
      <c r="D6">
        <v>-3.2214514905045681E-3</v>
      </c>
      <c r="E6">
        <v>-3.0113182247359397E-3</v>
      </c>
      <c r="F6">
        <v>-2.7822456970902636E-3</v>
      </c>
      <c r="G6">
        <v>-2.4741145948102118E-3</v>
      </c>
      <c r="H6">
        <v>-2.336025795363645E-3</v>
      </c>
      <c r="I6">
        <v>-2.1954563873968352E-3</v>
      </c>
      <c r="J6">
        <v>-1.9769570247781892E-3</v>
      </c>
      <c r="K6">
        <v>-1.8882995067991662E-3</v>
      </c>
      <c r="L6">
        <v>-1.8189371208788151E-3</v>
      </c>
      <c r="M6">
        <v>-1.7166518171339729E-3</v>
      </c>
      <c r="N6">
        <v>-1.6743530649723031E-3</v>
      </c>
      <c r="O6">
        <v>-1.5233376409976497E-3</v>
      </c>
      <c r="P6">
        <v>-1.3821128783989261E-3</v>
      </c>
      <c r="Q6">
        <v>-1.3493416590876892E-3</v>
      </c>
      <c r="R6">
        <v>-1.2597837590956626E-3</v>
      </c>
      <c r="S6">
        <v>-1.2920094185800977E-3</v>
      </c>
      <c r="T6">
        <v>-1.1546109816175771E-3</v>
      </c>
      <c r="U6">
        <v>-1.0492808869620074E-3</v>
      </c>
    </row>
    <row r="7" spans="1:24">
      <c r="A7" t="s">
        <v>4</v>
      </c>
      <c r="B7">
        <v>-4.2285451328998224E-3</v>
      </c>
      <c r="C7">
        <v>-3.8419292148462029E-3</v>
      </c>
      <c r="D7">
        <v>-3.4367702163815642E-3</v>
      </c>
      <c r="E7">
        <v>-3.2268448092434804E-3</v>
      </c>
      <c r="F7">
        <v>-3.0702269545170814E-3</v>
      </c>
      <c r="G7">
        <v>-2.6925418108431328E-3</v>
      </c>
      <c r="H7">
        <v>-2.5007020174281111E-3</v>
      </c>
      <c r="I7">
        <v>-2.1905241774051783E-3</v>
      </c>
      <c r="J7">
        <v>-2.1888275957183683E-3</v>
      </c>
      <c r="K7">
        <v>-2.1322499726942837E-3</v>
      </c>
      <c r="L7">
        <v>-2.0134777129659359E-3</v>
      </c>
      <c r="M7">
        <v>-1.9365550385173637E-3</v>
      </c>
      <c r="N7">
        <v>-1.9292913306449525E-3</v>
      </c>
      <c r="O7">
        <v>-1.8424726073861136E-3</v>
      </c>
      <c r="P7">
        <v>-1.9064307479623706E-3</v>
      </c>
      <c r="Q7">
        <v>-1.8455993581298928E-3</v>
      </c>
      <c r="R7">
        <v>-1.7257386784209619E-3</v>
      </c>
      <c r="S7">
        <v>-1.6576742967856644E-3</v>
      </c>
      <c r="T7">
        <v>-1.6336709406854484E-3</v>
      </c>
      <c r="U7">
        <v>-1.6189251209590561E-3</v>
      </c>
    </row>
    <row r="8" spans="1:24">
      <c r="A8" t="s">
        <v>42</v>
      </c>
      <c r="B8">
        <v>-4.0829118898050177E-3</v>
      </c>
      <c r="C8">
        <v>-3.6261251898461085E-3</v>
      </c>
      <c r="D8">
        <v>-3.22013289624253E-3</v>
      </c>
      <c r="E8">
        <v>-2.9736364497630588E-3</v>
      </c>
      <c r="F8">
        <v>-2.7288589644013754E-3</v>
      </c>
      <c r="G8">
        <v>-2.4715365510243727E-3</v>
      </c>
      <c r="H8">
        <v>-2.3238424380861975E-3</v>
      </c>
      <c r="I8">
        <v>-2.2567908228694456E-3</v>
      </c>
      <c r="J8">
        <v>-1.9993725481711271E-3</v>
      </c>
      <c r="K8">
        <v>-1.822395262284791E-3</v>
      </c>
      <c r="L8">
        <v>-1.672592100540038E-3</v>
      </c>
      <c r="M8">
        <v>-1.5368047114716875E-3</v>
      </c>
      <c r="N8">
        <v>-1.4307007525966395E-3</v>
      </c>
      <c r="O8">
        <v>-1.434493109701726E-3</v>
      </c>
      <c r="P8">
        <v>-1.4990174428604472E-3</v>
      </c>
      <c r="Q8">
        <v>-1.5800493775363202E-3</v>
      </c>
      <c r="R8">
        <v>-1.3807765497884461E-3</v>
      </c>
      <c r="S8">
        <v>-1.4243736263075452E-3</v>
      </c>
      <c r="T8">
        <v>-1.2861977111127904E-3</v>
      </c>
      <c r="U8">
        <v>-1.087883775178722E-3</v>
      </c>
    </row>
    <row r="9" spans="1:24">
      <c r="A9" t="s">
        <v>5</v>
      </c>
      <c r="B9">
        <v>-4.2690772131655074E-3</v>
      </c>
      <c r="C9">
        <v>-3.9276571496922848E-3</v>
      </c>
      <c r="D9">
        <v>-3.7213813774916722E-3</v>
      </c>
      <c r="E9">
        <v>-3.6815004204682452E-3</v>
      </c>
      <c r="F9">
        <v>-3.5677916260177531E-3</v>
      </c>
      <c r="G9">
        <v>-3.4307923884709427E-3</v>
      </c>
      <c r="H9">
        <v>-3.1549832095509331E-3</v>
      </c>
      <c r="I9">
        <v>-3.0478680352824627E-3</v>
      </c>
      <c r="J9">
        <v>-2.9050876298807246E-3</v>
      </c>
      <c r="K9">
        <v>-2.7897128430902406E-3</v>
      </c>
      <c r="L9">
        <v>-2.7088256198432238E-3</v>
      </c>
      <c r="M9">
        <v>-2.4877051756179705E-3</v>
      </c>
      <c r="N9">
        <v>-2.2828747203129658E-3</v>
      </c>
      <c r="O9">
        <v>-2.170585777006474E-3</v>
      </c>
      <c r="P9">
        <v>-2.239501047549984E-3</v>
      </c>
      <c r="Q9">
        <v>-2.244580145407832E-3</v>
      </c>
      <c r="R9">
        <v>-2.2271227841760108E-3</v>
      </c>
      <c r="S9">
        <v>-2.2089100282264508E-3</v>
      </c>
      <c r="T9">
        <v>-2.1409417047349292E-3</v>
      </c>
      <c r="U9">
        <v>-2.0247946617522662E-3</v>
      </c>
    </row>
    <row r="10" spans="1:24">
      <c r="A10" t="s">
        <v>6</v>
      </c>
      <c r="B10">
        <v>-4.1947150759683036E-3</v>
      </c>
      <c r="C10">
        <v>-3.7323249597097457E-3</v>
      </c>
      <c r="D10">
        <v>-3.2912471251189267E-3</v>
      </c>
      <c r="E10">
        <v>-3.0265121836967209E-3</v>
      </c>
      <c r="F10">
        <v>-2.79955643536692E-3</v>
      </c>
      <c r="G10">
        <v>-2.488142612623037E-3</v>
      </c>
      <c r="H10">
        <v>-2.242204656973478E-3</v>
      </c>
      <c r="I10">
        <v>-2.0343946542019462E-3</v>
      </c>
      <c r="J10">
        <v>-1.8033623197953234E-3</v>
      </c>
      <c r="K10">
        <v>-1.5573220067431569E-3</v>
      </c>
      <c r="L10">
        <v>-1.5433173508040935E-3</v>
      </c>
      <c r="M10">
        <v>-1.4538062907509888E-3</v>
      </c>
      <c r="N10">
        <v>-1.3861869727796634E-3</v>
      </c>
      <c r="O10">
        <v>-1.3123541612064498E-3</v>
      </c>
      <c r="P10">
        <v>-1.2453746474227134E-3</v>
      </c>
      <c r="Q10">
        <v>-1.3708875504102023E-3</v>
      </c>
      <c r="R10">
        <v>-1.2924617995264851E-3</v>
      </c>
      <c r="S10">
        <v>-1.2263020584583051E-3</v>
      </c>
      <c r="T10">
        <v>-1.1793094843817341E-3</v>
      </c>
      <c r="U10">
        <v>-1.051996889390686E-3</v>
      </c>
    </row>
  </sheetData>
  <phoneticPr fontId="0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8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 Chg_R_posneg _1.4A"</f>
        <v xml:space="preserve"> Chg_R_posneg _1.4A</v>
      </c>
      <c r="C1" s="1" t="str">
        <f>" Chg_R_posneg _2A"</f>
        <v xml:space="preserve"> Chg_R_posneg _2A</v>
      </c>
      <c r="D1" s="1" t="str">
        <f>" Chg_R_posneg _3A"</f>
        <v xml:space="preserve"> Chg_R_posneg _3A</v>
      </c>
      <c r="E1" s="1" t="str">
        <f>" Chg_R_posneg _4A"</f>
        <v xml:space="preserve"> Chg_R_posneg _4A</v>
      </c>
      <c r="F1" s="1" t="str">
        <f>" Chg_R_posneg _5A"</f>
        <v xml:space="preserve"> Chg_R_posneg _5A</v>
      </c>
      <c r="G1" s="1" t="str">
        <f>" Chg_R_posneg _6A"</f>
        <v xml:space="preserve"> Chg_R_posneg _6A</v>
      </c>
      <c r="H1" s="1" t="str">
        <f>" Chg_R_posneg _7A"</f>
        <v xml:space="preserve"> Chg_R_posneg _7A</v>
      </c>
      <c r="I1" s="1" t="str">
        <f>" Chg_R_posneg _8A"</f>
        <v xml:space="preserve"> Chg_R_posneg _8A</v>
      </c>
      <c r="J1" s="1" t="str">
        <f>" Chg_R_posneg _9A"</f>
        <v xml:space="preserve"> Chg_R_posneg _9A</v>
      </c>
      <c r="K1" s="1" t="str">
        <f>" Chg_R_posneg _10A"</f>
        <v xml:space="preserve"> Chg_R_posneg _10A</v>
      </c>
      <c r="L1" s="1" t="str">
        <f>" Chg_R_posneg _11A"</f>
        <v xml:space="preserve"> Chg_R_posneg _11A</v>
      </c>
      <c r="M1" s="1" t="str">
        <f>" Chg_R_posneg _12A"</f>
        <v xml:space="preserve"> Chg_R_posneg _12A</v>
      </c>
      <c r="N1" s="1" t="str">
        <f>" Chg_R_posneg _13A"</f>
        <v xml:space="preserve"> Chg_R_posneg _13A</v>
      </c>
      <c r="O1" s="1" t="str">
        <f>" Chg_R_posneg _14A"</f>
        <v xml:space="preserve"> Chg_R_posneg _14A</v>
      </c>
      <c r="P1" s="1" t="str">
        <f>" Chg_R_posneg _15A"</f>
        <v xml:space="preserve"> Chg_R_posneg _15A</v>
      </c>
      <c r="Q1" s="1" t="str">
        <f>" Chg_R_posneg _16A"</f>
        <v xml:space="preserve"> Chg_R_posneg _16A</v>
      </c>
      <c r="R1" s="1" t="str">
        <f>" Chg_R_posneg _17A"</f>
        <v xml:space="preserve"> Chg_R_posneg _17A</v>
      </c>
      <c r="S1" s="1" t="str">
        <f>" Chg_R_posneg _18A"</f>
        <v xml:space="preserve"> Chg_R_posneg _18A</v>
      </c>
      <c r="T1" s="1" t="str">
        <f>" Chg_R_posneg _19A"</f>
        <v xml:space="preserve"> Chg_R_posneg _19A</v>
      </c>
      <c r="U1" s="1" t="str">
        <f>" Chg_R_posneg _20A"</f>
        <v xml:space="preserve"> Chg_R_posneg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-0.34525391818732293</v>
      </c>
      <c r="C3">
        <v>-0.42201527015832363</v>
      </c>
      <c r="D3">
        <v>-0.49710547810475064</v>
      </c>
      <c r="E3">
        <v>-0.53465607465971987</v>
      </c>
      <c r="F3">
        <v>-0.57204817802641672</v>
      </c>
      <c r="G3">
        <v>-0.6127585907168106</v>
      </c>
      <c r="H3">
        <v>-0.63281515990211279</v>
      </c>
      <c r="I3">
        <v>-0.6667568175385129</v>
      </c>
      <c r="J3">
        <v>-0.69671635485803973</v>
      </c>
      <c r="K3">
        <v>-0.69894176846157285</v>
      </c>
      <c r="L3">
        <v>-0.69367918485637559</v>
      </c>
      <c r="M3">
        <v>-0.72520802827247766</v>
      </c>
      <c r="N3">
        <v>-0.7315006101844288</v>
      </c>
      <c r="O3">
        <v>-0.73572395893211018</v>
      </c>
      <c r="P3">
        <v>-0.75472986089060345</v>
      </c>
      <c r="Q3">
        <v>-0.77029687774895461</v>
      </c>
      <c r="R3">
        <v>-0.77316403857797544</v>
      </c>
      <c r="S3">
        <v>-0.78367872906783353</v>
      </c>
      <c r="T3">
        <v>-0.79557526161826186</v>
      </c>
      <c r="U3">
        <v>-0.7956702465217016</v>
      </c>
    </row>
    <row r="4" spans="1:24">
      <c r="A4" t="s">
        <v>1</v>
      </c>
      <c r="B4">
        <v>-0.34396809101338938</v>
      </c>
      <c r="C4">
        <v>-0.41830949313773114</v>
      </c>
      <c r="D4">
        <v>-0.49256343516746293</v>
      </c>
      <c r="E4">
        <v>-0.52993914417807708</v>
      </c>
      <c r="F4">
        <v>-0.56177340372348639</v>
      </c>
      <c r="G4">
        <v>-0.61208857581921328</v>
      </c>
      <c r="H4">
        <v>-0.61869267991295251</v>
      </c>
      <c r="I4">
        <v>-0.64771459453942803</v>
      </c>
      <c r="J4">
        <v>-0.66379286879712374</v>
      </c>
      <c r="K4">
        <v>-0.69399123921596739</v>
      </c>
      <c r="L4">
        <v>-0.71003603328828446</v>
      </c>
      <c r="M4">
        <v>-0.72223939501852541</v>
      </c>
      <c r="N4">
        <v>-0.71696970257143855</v>
      </c>
      <c r="O4">
        <v>-0.73392092636964612</v>
      </c>
      <c r="P4">
        <v>-0.752982595755046</v>
      </c>
      <c r="Q4">
        <v>-0.75357567404215653</v>
      </c>
      <c r="R4">
        <v>-0.765170713737235</v>
      </c>
      <c r="S4">
        <v>-0.76822505727614698</v>
      </c>
      <c r="T4">
        <v>-0.77856249825747592</v>
      </c>
      <c r="U4">
        <v>-0.80865373916207295</v>
      </c>
    </row>
    <row r="5" spans="1:24">
      <c r="A5" t="s">
        <v>2</v>
      </c>
      <c r="B5">
        <v>-0.3120395457672609</v>
      </c>
      <c r="C5">
        <v>-0.36922856093403228</v>
      </c>
      <c r="D5">
        <v>-0.43025807161995189</v>
      </c>
      <c r="E5">
        <v>-0.45349333842380823</v>
      </c>
      <c r="F5">
        <v>-0.47902941007057059</v>
      </c>
      <c r="G5">
        <v>-0.50693528695688872</v>
      </c>
      <c r="H5">
        <v>-0.53152932847446788</v>
      </c>
      <c r="I5">
        <v>-0.54552264990971555</v>
      </c>
      <c r="J5">
        <v>-0.57537576628743459</v>
      </c>
      <c r="K5">
        <v>-0.58508803507433416</v>
      </c>
      <c r="L5">
        <v>-0.6186203857412369</v>
      </c>
      <c r="M5">
        <v>-0.60936766161024136</v>
      </c>
      <c r="N5">
        <v>-0.61571743477793017</v>
      </c>
      <c r="O5">
        <v>-0.63807921413546875</v>
      </c>
      <c r="P5">
        <v>-0.66120161082446993</v>
      </c>
      <c r="Q5">
        <v>-0.67180032895048714</v>
      </c>
      <c r="R5">
        <v>-0.69191061571197687</v>
      </c>
      <c r="S5">
        <v>-0.69547404887455455</v>
      </c>
      <c r="T5">
        <v>-0.71206552161758419</v>
      </c>
      <c r="U5">
        <v>-0.71620172937822502</v>
      </c>
    </row>
    <row r="6" spans="1:24">
      <c r="A6" t="s">
        <v>3</v>
      </c>
      <c r="B6">
        <v>-0.34174728593427889</v>
      </c>
      <c r="C6">
        <v>-0.4160879678357946</v>
      </c>
      <c r="D6">
        <v>-0.48827126651108427</v>
      </c>
      <c r="E6">
        <v>-0.52320702599854541</v>
      </c>
      <c r="F6">
        <v>-0.55745781817151341</v>
      </c>
      <c r="G6">
        <v>-0.6002354080410377</v>
      </c>
      <c r="H6">
        <v>-0.62087193562935761</v>
      </c>
      <c r="I6">
        <v>-0.64390560638879846</v>
      </c>
      <c r="J6">
        <v>-0.67530739825719566</v>
      </c>
      <c r="K6">
        <v>-0.68603030302254253</v>
      </c>
      <c r="L6">
        <v>-0.69461381235150288</v>
      </c>
      <c r="M6">
        <v>-0.71078843995510665</v>
      </c>
      <c r="N6">
        <v>-0.71764652193477718</v>
      </c>
      <c r="O6">
        <v>-0.74178735182014144</v>
      </c>
      <c r="P6">
        <v>-0.76397650559237174</v>
      </c>
      <c r="Q6">
        <v>-0.76765004518316338</v>
      </c>
      <c r="R6">
        <v>-0.7781619041483635</v>
      </c>
      <c r="S6">
        <v>-0.77283192144629498</v>
      </c>
      <c r="T6">
        <v>-0.7982407817345919</v>
      </c>
      <c r="U6">
        <v>-0.81373200192289252</v>
      </c>
    </row>
    <row r="7" spans="1:24">
      <c r="A7" t="s">
        <v>4</v>
      </c>
      <c r="B7">
        <v>-0.32244926322202333</v>
      </c>
      <c r="C7">
        <v>-0.37926535456992599</v>
      </c>
      <c r="D7">
        <v>-0.44584807136574944</v>
      </c>
      <c r="E7">
        <v>-0.475631277896581</v>
      </c>
      <c r="F7">
        <v>-0.50140328292580727</v>
      </c>
      <c r="G7">
        <v>-0.55225983610597207</v>
      </c>
      <c r="H7">
        <v>-0.57505951698206204</v>
      </c>
      <c r="I7">
        <v>-0.62229000943440593</v>
      </c>
      <c r="J7">
        <v>-0.62309233909299977</v>
      </c>
      <c r="K7">
        <v>-0.63020624993386032</v>
      </c>
      <c r="L7">
        <v>-0.64752798159955971</v>
      </c>
      <c r="M7">
        <v>-0.65958472653650257</v>
      </c>
      <c r="N7">
        <v>-0.6596510628425728</v>
      </c>
      <c r="O7">
        <v>-0.67240230492700359</v>
      </c>
      <c r="P7">
        <v>-0.66501017903348991</v>
      </c>
      <c r="Q7">
        <v>-0.67600514465241757</v>
      </c>
      <c r="R7">
        <v>-0.69082672311463567</v>
      </c>
      <c r="S7">
        <v>-0.70136070470986189</v>
      </c>
      <c r="T7">
        <v>-0.70429852762163647</v>
      </c>
      <c r="U7">
        <v>-0.70624633753840937</v>
      </c>
    </row>
    <row r="8" spans="1:24">
      <c r="A8" t="s">
        <v>42</v>
      </c>
      <c r="B8">
        <v>-0.34116519424447717</v>
      </c>
      <c r="C8">
        <v>-0.41170422197828777</v>
      </c>
      <c r="D8">
        <v>-0.48615201778008665</v>
      </c>
      <c r="E8">
        <v>-0.52757287026120114</v>
      </c>
      <c r="F8">
        <v>-0.56499921593225655</v>
      </c>
      <c r="G8">
        <v>-0.59967273117342845</v>
      </c>
      <c r="H8">
        <v>-0.61895744540788711</v>
      </c>
      <c r="I8">
        <v>-0.63231032533978904</v>
      </c>
      <c r="J8">
        <v>-0.66810100900809488</v>
      </c>
      <c r="K8">
        <v>-0.69566150997899356</v>
      </c>
      <c r="L8">
        <v>-0.71932894336520248</v>
      </c>
      <c r="M8">
        <v>-0.73908318371918946</v>
      </c>
      <c r="N8">
        <v>-0.75538388438934601</v>
      </c>
      <c r="O8">
        <v>-0.75738344763233012</v>
      </c>
      <c r="P8">
        <v>-0.74579843906102283</v>
      </c>
      <c r="Q8">
        <v>-0.73248402501824073</v>
      </c>
      <c r="R8">
        <v>-0.76256790570252253</v>
      </c>
      <c r="S8">
        <v>-0.75395799433574295</v>
      </c>
      <c r="T8">
        <v>-0.77626329006314354</v>
      </c>
      <c r="U8">
        <v>-0.80628803367047785</v>
      </c>
    </row>
    <row r="9" spans="1:24">
      <c r="A9" t="s">
        <v>5</v>
      </c>
      <c r="B9">
        <v>-0.3230445820036334</v>
      </c>
      <c r="C9">
        <v>-0.3782792570700575</v>
      </c>
      <c r="D9">
        <v>-0.42306796243323247</v>
      </c>
      <c r="E9">
        <v>-0.43388405989902395</v>
      </c>
      <c r="F9">
        <v>-0.4539765201948221</v>
      </c>
      <c r="G9">
        <v>-0.4743572770992811</v>
      </c>
      <c r="H9">
        <v>-0.50844352977941609</v>
      </c>
      <c r="I9">
        <v>-0.52260539366208747</v>
      </c>
      <c r="J9">
        <v>-0.53572779976693019</v>
      </c>
      <c r="K9">
        <v>-0.54910829584679899</v>
      </c>
      <c r="L9">
        <v>-0.56237293626302665</v>
      </c>
      <c r="M9">
        <v>-0.58820001539911382</v>
      </c>
      <c r="N9">
        <v>-0.61581858328288042</v>
      </c>
      <c r="O9">
        <v>-0.62950963387061132</v>
      </c>
      <c r="P9">
        <v>-0.6205499342132651</v>
      </c>
      <c r="Q9">
        <v>-0.61748013570316385</v>
      </c>
      <c r="R9">
        <v>-0.6219640145589953</v>
      </c>
      <c r="S9">
        <v>-0.62271461653753646</v>
      </c>
      <c r="T9">
        <v>-0.6321991925306627</v>
      </c>
      <c r="U9">
        <v>-0.64849706015325626</v>
      </c>
    </row>
    <row r="10" spans="1:24">
      <c r="A10" t="s">
        <v>6</v>
      </c>
      <c r="B10">
        <v>-0.32530357920691777</v>
      </c>
      <c r="C10">
        <v>-0.39169352781578276</v>
      </c>
      <c r="D10">
        <v>-0.46509181659707949</v>
      </c>
      <c r="E10">
        <v>-0.50541987958010526</v>
      </c>
      <c r="F10">
        <v>-0.5399597038801951</v>
      </c>
      <c r="G10">
        <v>-0.58425659187532475</v>
      </c>
      <c r="H10">
        <v>-0.61840348422131541</v>
      </c>
      <c r="I10">
        <v>-0.64581901123928331</v>
      </c>
      <c r="J10">
        <v>-0.68183955858917056</v>
      </c>
      <c r="K10">
        <v>-0.72128459931929434</v>
      </c>
      <c r="L10">
        <v>-0.72634786593250045</v>
      </c>
      <c r="M10">
        <v>-0.74182762979229666</v>
      </c>
      <c r="N10">
        <v>-0.75272909702223312</v>
      </c>
      <c r="O10">
        <v>-0.76591815128238938</v>
      </c>
      <c r="P10">
        <v>-0.77613637917851819</v>
      </c>
      <c r="Q10">
        <v>-0.75535755782648373</v>
      </c>
      <c r="R10">
        <v>-0.76833868798357896</v>
      </c>
      <c r="S10">
        <v>-0.77759280884082949</v>
      </c>
      <c r="T10">
        <v>-0.78480782696780893</v>
      </c>
      <c r="U10">
        <v>-0.80607597452426216</v>
      </c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"AA_pho_A_1.4A"</f>
        <v>AA_pho_A_1.4A</v>
      </c>
      <c r="C1" s="1" t="str">
        <f>"AA_pho_A_2A"</f>
        <v>AA_pho_A_2A</v>
      </c>
      <c r="D1" s="1" t="str">
        <f>"AA_pho_A_3A"</f>
        <v>AA_pho_A_3A</v>
      </c>
      <c r="E1" s="1" t="str">
        <f>"AA_pho_A_4A"</f>
        <v>AA_pho_A_4A</v>
      </c>
      <c r="F1" s="1" t="str">
        <f>"AA_pho_A_5A"</f>
        <v>AA_pho_A_5A</v>
      </c>
      <c r="G1" s="1" t="str">
        <f>"AA_pho_A_6A"</f>
        <v>AA_pho_A_6A</v>
      </c>
      <c r="H1" s="1" t="str">
        <f>"AA_pho_A_7A"</f>
        <v>AA_pho_A_7A</v>
      </c>
      <c r="I1" s="1" t="str">
        <f>"AA_pho_A_8A"</f>
        <v>AA_pho_A_8A</v>
      </c>
      <c r="J1" s="1" t="str">
        <f>"AA_pho_A_9A"</f>
        <v>AA_pho_A_9A</v>
      </c>
      <c r="K1" s="1" t="str">
        <f>"AA_pho_A_10A"</f>
        <v>AA_pho_A_10A</v>
      </c>
      <c r="L1" s="1" t="str">
        <f>"AA_pho_A_11A"</f>
        <v>AA_pho_A_11A</v>
      </c>
      <c r="M1" s="1" t="str">
        <f>"AA_pho_A_12A"</f>
        <v>AA_pho_A_12A</v>
      </c>
      <c r="N1" s="1" t="str">
        <f>"AA_pho_A_13A"</f>
        <v>AA_pho_A_13A</v>
      </c>
      <c r="O1" s="1" t="str">
        <f>"AA_pho_A_14A"</f>
        <v>AA_pho_A_14A</v>
      </c>
      <c r="P1" s="1" t="str">
        <f>"AA_pho_A_15A"</f>
        <v>AA_pho_A_15A</v>
      </c>
      <c r="Q1" s="1" t="str">
        <f>"AA_pho_A_16A"</f>
        <v>AA_pho_A_16A</v>
      </c>
      <c r="R1" s="1" t="str">
        <f>"AA_pho_A_17A"</f>
        <v>AA_pho_A_17A</v>
      </c>
      <c r="S1" s="1" t="str">
        <f>"AA_pho_A_18A"</f>
        <v>AA_pho_A_18A</v>
      </c>
      <c r="T1" s="1" t="str">
        <f>"AA_pho_A_19A"</f>
        <v>AA_pho_A_19A</v>
      </c>
      <c r="U1" s="1" t="str">
        <f>"AA_pho_A_20A"</f>
        <v>AA_pho_A_20A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1647.6959999999999</v>
      </c>
      <c r="C3">
        <v>816.0865</v>
      </c>
      <c r="D3">
        <v>301.47770000000003</v>
      </c>
      <c r="E3">
        <v>155.99690000000001</v>
      </c>
      <c r="F3">
        <v>97.351879999999994</v>
      </c>
      <c r="G3">
        <v>61.789969999999997</v>
      </c>
      <c r="H3">
        <v>50.434010000000001</v>
      </c>
      <c r="I3">
        <v>41.407020000000003</v>
      </c>
      <c r="J3">
        <v>33.34299</v>
      </c>
      <c r="K3">
        <v>28.685009999999998</v>
      </c>
      <c r="L3">
        <v>25.975020000000001</v>
      </c>
      <c r="M3">
        <v>22.338010000000001</v>
      </c>
      <c r="N3">
        <v>21.108000000000001</v>
      </c>
      <c r="O3">
        <v>18.699000000000002</v>
      </c>
      <c r="P3">
        <v>17.23</v>
      </c>
      <c r="Q3">
        <v>15.98</v>
      </c>
      <c r="R3">
        <v>13.154999999999999</v>
      </c>
      <c r="S3">
        <v>12.43</v>
      </c>
      <c r="T3">
        <v>11.936</v>
      </c>
      <c r="U3">
        <v>11.209</v>
      </c>
    </row>
    <row r="4" spans="1:24">
      <c r="A4" t="s">
        <v>1</v>
      </c>
      <c r="B4">
        <v>1665.616</v>
      </c>
      <c r="C4">
        <v>826.76080000000002</v>
      </c>
      <c r="D4">
        <v>309.84550000000002</v>
      </c>
      <c r="E4">
        <v>157.4769</v>
      </c>
      <c r="F4">
        <v>97.272869999999998</v>
      </c>
      <c r="G4">
        <v>66.142970000000005</v>
      </c>
      <c r="H4">
        <v>49.889020000000002</v>
      </c>
      <c r="I4">
        <v>41.863030000000002</v>
      </c>
      <c r="J4">
        <v>34.482990000000001</v>
      </c>
      <c r="K4">
        <v>30.821020000000001</v>
      </c>
      <c r="L4">
        <v>27.154019999999999</v>
      </c>
      <c r="M4">
        <v>24.19501</v>
      </c>
      <c r="N4">
        <v>21.077999999999999</v>
      </c>
      <c r="O4">
        <v>18.922989999999999</v>
      </c>
      <c r="P4">
        <v>17.236999999999998</v>
      </c>
      <c r="Q4">
        <v>15.263</v>
      </c>
      <c r="R4">
        <v>14.31</v>
      </c>
      <c r="S4">
        <v>12.89</v>
      </c>
      <c r="T4">
        <v>11.922000000000001</v>
      </c>
      <c r="U4">
        <v>11.441000000000001</v>
      </c>
    </row>
    <row r="5" spans="1:24">
      <c r="A5" t="s">
        <v>2</v>
      </c>
      <c r="B5">
        <v>1585.2429999999999</v>
      </c>
      <c r="C5">
        <v>775.98130000000003</v>
      </c>
      <c r="D5">
        <v>299.07010000000002</v>
      </c>
      <c r="E5">
        <v>159.58199999999999</v>
      </c>
      <c r="F5">
        <v>98.575869999999995</v>
      </c>
      <c r="G5">
        <v>67.968950000000007</v>
      </c>
      <c r="H5">
        <v>50.799010000000003</v>
      </c>
      <c r="I5">
        <v>40.088030000000003</v>
      </c>
      <c r="J5">
        <v>31.704989999999999</v>
      </c>
      <c r="K5">
        <v>27.985019999999999</v>
      </c>
      <c r="L5">
        <v>25.30302</v>
      </c>
      <c r="M5">
        <v>23.338010000000001</v>
      </c>
      <c r="N5">
        <v>21.582000000000001</v>
      </c>
      <c r="O5">
        <v>20.604990000000001</v>
      </c>
      <c r="P5">
        <v>17.99699</v>
      </c>
      <c r="Q5">
        <v>16.064</v>
      </c>
      <c r="R5">
        <v>15.125999999999999</v>
      </c>
      <c r="S5">
        <v>13.709</v>
      </c>
      <c r="T5">
        <v>12.973000000000001</v>
      </c>
      <c r="U5">
        <v>12.731</v>
      </c>
    </row>
    <row r="6" spans="1:24">
      <c r="A6" t="s">
        <v>3</v>
      </c>
      <c r="B6">
        <v>1632.999</v>
      </c>
      <c r="C6">
        <v>812.79359999999997</v>
      </c>
      <c r="D6">
        <v>301.0428</v>
      </c>
      <c r="E6">
        <v>153.67590000000001</v>
      </c>
      <c r="F6">
        <v>93.059899999999999</v>
      </c>
      <c r="G6">
        <v>63.264969999999998</v>
      </c>
      <c r="H6">
        <v>49.96801</v>
      </c>
      <c r="I6">
        <v>39.243020000000001</v>
      </c>
      <c r="J6">
        <v>32.575989999999997</v>
      </c>
      <c r="K6">
        <v>27.434010000000001</v>
      </c>
      <c r="L6">
        <v>25.685020000000002</v>
      </c>
      <c r="M6">
        <v>22.777010000000001</v>
      </c>
      <c r="N6">
        <v>20.384</v>
      </c>
      <c r="O6">
        <v>19.370989999999999</v>
      </c>
      <c r="P6">
        <v>18.158999999999999</v>
      </c>
      <c r="Q6">
        <v>15.023</v>
      </c>
      <c r="R6">
        <v>13.574</v>
      </c>
      <c r="S6">
        <v>12.87</v>
      </c>
      <c r="T6">
        <v>11.904999999999999</v>
      </c>
      <c r="U6">
        <v>10.975</v>
      </c>
    </row>
    <row r="7" spans="1:24">
      <c r="A7" t="s">
        <v>4</v>
      </c>
      <c r="B7">
        <v>1626.01</v>
      </c>
      <c r="C7">
        <v>811.52679999999998</v>
      </c>
      <c r="D7">
        <v>312.1875</v>
      </c>
      <c r="E7">
        <v>174.4228</v>
      </c>
      <c r="F7">
        <v>108.8399</v>
      </c>
      <c r="G7">
        <v>75.687939999999998</v>
      </c>
      <c r="H7">
        <v>56.420029999999997</v>
      </c>
      <c r="I7">
        <v>45.701030000000003</v>
      </c>
      <c r="J7">
        <v>37.023980000000002</v>
      </c>
      <c r="K7">
        <v>31.829029999999999</v>
      </c>
      <c r="L7">
        <v>27.23002</v>
      </c>
      <c r="M7">
        <v>24.51801</v>
      </c>
      <c r="N7">
        <v>21.579000000000001</v>
      </c>
      <c r="O7">
        <v>19.42099</v>
      </c>
      <c r="P7">
        <v>17.956990000000001</v>
      </c>
      <c r="Q7">
        <v>16.478999999999999</v>
      </c>
      <c r="R7">
        <v>15.271000000000001</v>
      </c>
      <c r="S7">
        <v>14.792</v>
      </c>
      <c r="T7">
        <v>13.798</v>
      </c>
      <c r="U7">
        <v>12.872999999999999</v>
      </c>
    </row>
    <row r="8" spans="1:24">
      <c r="A8" t="s">
        <v>42</v>
      </c>
      <c r="B8">
        <v>1682.1559999999999</v>
      </c>
      <c r="C8">
        <v>851.55200000000002</v>
      </c>
      <c r="D8">
        <v>327.09230000000002</v>
      </c>
      <c r="E8">
        <v>169.45400000000001</v>
      </c>
      <c r="F8">
        <v>107.7379</v>
      </c>
      <c r="G8">
        <v>74.861930000000001</v>
      </c>
      <c r="H8">
        <v>55.921030000000002</v>
      </c>
      <c r="I8">
        <v>45.672029999999999</v>
      </c>
      <c r="J8">
        <v>37.07199</v>
      </c>
      <c r="K8">
        <v>31.22702</v>
      </c>
      <c r="L8">
        <v>25.449020000000001</v>
      </c>
      <c r="M8">
        <v>23.238009999999999</v>
      </c>
      <c r="N8">
        <v>19.395</v>
      </c>
      <c r="O8">
        <v>17.695989999999998</v>
      </c>
      <c r="P8">
        <v>15.536</v>
      </c>
      <c r="Q8">
        <v>15.034000000000001</v>
      </c>
      <c r="R8">
        <v>14.317</v>
      </c>
      <c r="S8">
        <v>12.872</v>
      </c>
      <c r="T8">
        <v>12.132999999999999</v>
      </c>
      <c r="U8">
        <v>10.728999999999999</v>
      </c>
    </row>
    <row r="9" spans="1:24">
      <c r="A9" t="s">
        <v>5</v>
      </c>
      <c r="B9">
        <v>1669.8209999999999</v>
      </c>
      <c r="C9">
        <v>828.41300000000001</v>
      </c>
      <c r="D9">
        <v>316.9991</v>
      </c>
      <c r="E9">
        <v>175.4419</v>
      </c>
      <c r="F9">
        <v>107.754</v>
      </c>
      <c r="G9">
        <v>74.946910000000003</v>
      </c>
      <c r="H9">
        <v>57.092059999999996</v>
      </c>
      <c r="I9">
        <v>45.16601</v>
      </c>
      <c r="J9">
        <v>40.64499</v>
      </c>
      <c r="K9">
        <v>32.304029999999997</v>
      </c>
      <c r="L9">
        <v>28.639019999999999</v>
      </c>
      <c r="M9">
        <v>24.511009999999999</v>
      </c>
      <c r="N9">
        <v>22.053989999999999</v>
      </c>
      <c r="O9">
        <v>19.882989999999999</v>
      </c>
      <c r="P9">
        <v>18.168990000000001</v>
      </c>
      <c r="Q9">
        <v>17.187000000000001</v>
      </c>
      <c r="R9">
        <v>16.233000000000001</v>
      </c>
      <c r="S9">
        <v>14.077</v>
      </c>
      <c r="T9">
        <v>13.567</v>
      </c>
      <c r="U9">
        <v>12.625</v>
      </c>
    </row>
    <row r="10" spans="1:24">
      <c r="A10" t="s">
        <v>6</v>
      </c>
      <c r="B10">
        <v>1628.1990000000001</v>
      </c>
      <c r="C10">
        <v>821.31700000000001</v>
      </c>
      <c r="D10">
        <v>315.25740000000002</v>
      </c>
      <c r="E10">
        <v>172.69980000000001</v>
      </c>
      <c r="F10">
        <v>108.07689999999999</v>
      </c>
      <c r="G10">
        <v>75.364919999999998</v>
      </c>
      <c r="H10">
        <v>56.184040000000003</v>
      </c>
      <c r="I10">
        <v>45.459020000000002</v>
      </c>
      <c r="J10">
        <v>39.417000000000002</v>
      </c>
      <c r="K10">
        <v>31.02403</v>
      </c>
      <c r="L10">
        <v>26.917020000000001</v>
      </c>
      <c r="M10">
        <v>23.276</v>
      </c>
      <c r="N10">
        <v>20.812989999999999</v>
      </c>
      <c r="O10">
        <v>18.177990000000001</v>
      </c>
      <c r="P10">
        <v>16.26099</v>
      </c>
      <c r="Q10">
        <v>15.262</v>
      </c>
      <c r="R10">
        <v>14.064</v>
      </c>
      <c r="S10">
        <v>13.343</v>
      </c>
      <c r="T10">
        <v>13.074999999999999</v>
      </c>
      <c r="U10">
        <v>12.13</v>
      </c>
    </row>
  </sheetData>
  <phoneticPr fontId="0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9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"Chg_R_pos_tchg _1.4A"</f>
        <v>Chg_R_pos_tchg _1.4A</v>
      </c>
      <c r="C1" s="1" t="str">
        <f>"Chg_R_pos_tchg _2A"</f>
        <v>Chg_R_pos_tchg _2A</v>
      </c>
      <c r="D1" s="1" t="str">
        <f>"Chg_R_pos_tchg _3A"</f>
        <v>Chg_R_pos_tchg _3A</v>
      </c>
      <c r="E1" s="1" t="str">
        <f>"Chg_R_pos_tchg _4A"</f>
        <v>Chg_R_pos_tchg _4A</v>
      </c>
      <c r="F1" s="1" t="str">
        <f>"Chg_R_pos_tchg _5A"</f>
        <v>Chg_R_pos_tchg _5A</v>
      </c>
      <c r="G1" s="1" t="str">
        <f>"Chg_R_pos_tchg _6A"</f>
        <v>Chg_R_pos_tchg _6A</v>
      </c>
      <c r="H1" s="1" t="str">
        <f>"Chg_R_pos_tchg _7A"</f>
        <v>Chg_R_pos_tchg _7A</v>
      </c>
      <c r="I1" s="1" t="str">
        <f>"Chg_R_pos_tchg _8A"</f>
        <v>Chg_R_pos_tchg _8A</v>
      </c>
      <c r="J1" s="1" t="str">
        <f>"Chg_R_pos_tchg _9A"</f>
        <v>Chg_R_pos_tchg _9A</v>
      </c>
      <c r="K1" s="1" t="str">
        <f>"Chg_R_pos_tchg _10A"</f>
        <v>Chg_R_pos_tchg _10A</v>
      </c>
      <c r="L1" s="1" t="str">
        <f>"Chg_R_pos_tchg _11A"</f>
        <v>Chg_R_pos_tchg _11A</v>
      </c>
      <c r="M1" s="1" t="str">
        <f>"Chg_R_pos_tchg _12A"</f>
        <v>Chg_R_pos_tchg _12A</v>
      </c>
      <c r="N1" s="1" t="str">
        <f>"Chg_R_pos_tchg _13A"</f>
        <v>Chg_R_pos_tchg _13A</v>
      </c>
      <c r="O1" s="1" t="str">
        <f>"Chg_R_pos_tchg _14A"</f>
        <v>Chg_R_pos_tchg _14A</v>
      </c>
      <c r="P1" s="1" t="str">
        <f>"Chg_R_pos_tchg _15A"</f>
        <v>Chg_R_pos_tchg _15A</v>
      </c>
      <c r="Q1" s="1" t="str">
        <f>"Chg_R_pos_tchg _16A"</f>
        <v>Chg_R_pos_tchg _16A</v>
      </c>
      <c r="R1" s="1" t="str">
        <f>"Chg_R_pos_tchg _17A"</f>
        <v>Chg_R_pos_tchg _17A</v>
      </c>
      <c r="S1" s="1" t="str">
        <f>"Chg_R_pos_tchg _18A"</f>
        <v>Chg_R_pos_tchg _18A</v>
      </c>
      <c r="T1" s="1" t="str">
        <f>"Chg_R_pos_tchg _19A"</f>
        <v>Chg_R_pos_tchg _19A</v>
      </c>
      <c r="U1" s="1" t="str">
        <f>"Chg_R_pos_tchg _20A"</f>
        <v>Chg_R_pos_tchg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-0.52730963617450122</v>
      </c>
      <c r="C3">
        <v>-0.73014951497753844</v>
      </c>
      <c r="D3">
        <v>-0.9884885526915631</v>
      </c>
      <c r="E3">
        <v>-1.1489482198972636</v>
      </c>
      <c r="F3">
        <v>-1.3367116312025613</v>
      </c>
      <c r="G3">
        <v>-1.5823684555096242</v>
      </c>
      <c r="H3">
        <v>-1.7234239837718015</v>
      </c>
      <c r="I3">
        <v>-2.0008115773398303</v>
      </c>
      <c r="J3">
        <v>-2.2972434089939879</v>
      </c>
      <c r="K3">
        <v>-2.3216165354122191</v>
      </c>
      <c r="L3">
        <v>-2.2645512500713694</v>
      </c>
      <c r="M3">
        <v>-2.6391165058911477</v>
      </c>
      <c r="N3">
        <v>-2.7244032498058464</v>
      </c>
      <c r="O3">
        <v>-2.7839222805033246</v>
      </c>
      <c r="P3">
        <v>-3.077137166518161</v>
      </c>
      <c r="Q3">
        <v>-3.3534453959536856</v>
      </c>
      <c r="R3">
        <v>-3.4084720682339977</v>
      </c>
      <c r="S3">
        <v>-3.622753905294767</v>
      </c>
      <c r="T3">
        <v>-3.8917758580305604</v>
      </c>
      <c r="U3">
        <v>-3.8940498531272811</v>
      </c>
    </row>
    <row r="4" spans="1:24">
      <c r="A4" t="s">
        <v>1</v>
      </c>
      <c r="B4">
        <v>-0.52431609850308314</v>
      </c>
      <c r="C4">
        <v>-0.71912724757046331</v>
      </c>
      <c r="D4">
        <v>-0.97068967690575769</v>
      </c>
      <c r="E4">
        <v>-1.127384119767757</v>
      </c>
      <c r="F4">
        <v>-1.2819244849507418</v>
      </c>
      <c r="G4">
        <v>-1.5779080936114647</v>
      </c>
      <c r="H4">
        <v>-1.6225565241488491</v>
      </c>
      <c r="I4">
        <v>-1.8386075168019438</v>
      </c>
      <c r="J4">
        <v>-1.9743568984459572</v>
      </c>
      <c r="K4">
        <v>-2.267880296753189</v>
      </c>
      <c r="L4">
        <v>-2.4487043729616502</v>
      </c>
      <c r="M4">
        <v>-2.6002225732000244</v>
      </c>
      <c r="N4">
        <v>-2.5331906480874395</v>
      </c>
      <c r="O4">
        <v>-2.758281274645574</v>
      </c>
      <c r="P4">
        <v>-3.048297742649555</v>
      </c>
      <c r="Q4">
        <v>-3.0580409264102961</v>
      </c>
      <c r="R4">
        <v>-3.2584126363227046</v>
      </c>
      <c r="S4">
        <v>-3.314530243208579</v>
      </c>
      <c r="T4">
        <v>-3.5159469020868364</v>
      </c>
      <c r="U4">
        <v>-4.2261277310614078</v>
      </c>
    </row>
    <row r="5" spans="1:24">
      <c r="A5" t="s">
        <v>2</v>
      </c>
      <c r="B5">
        <v>-0.45357192240834387</v>
      </c>
      <c r="C5">
        <v>-0.58536030337831668</v>
      </c>
      <c r="D5">
        <v>-0.75518063563148341</v>
      </c>
      <c r="E5">
        <v>-0.82980386207165013</v>
      </c>
      <c r="F5">
        <v>-0.91949415059199391</v>
      </c>
      <c r="G5">
        <v>-1.0281313457379067</v>
      </c>
      <c r="H5">
        <v>-1.1346053462505796</v>
      </c>
      <c r="I5">
        <v>-1.2003296749581567</v>
      </c>
      <c r="J5">
        <v>-1.3550233844564679</v>
      </c>
      <c r="K5">
        <v>-1.4101498258290923</v>
      </c>
      <c r="L5">
        <v>-1.6220593933516012</v>
      </c>
      <c r="M5">
        <v>-1.5599519080323465</v>
      </c>
      <c r="N5">
        <v>-1.6022518076564787</v>
      </c>
      <c r="O5">
        <v>-1.7630355565549225</v>
      </c>
      <c r="P5">
        <v>-1.9516078941033692</v>
      </c>
      <c r="Q5">
        <v>-2.0469256620587473</v>
      </c>
      <c r="R5">
        <v>-2.245811283991308</v>
      </c>
      <c r="S5">
        <v>-2.2837923871652674</v>
      </c>
      <c r="T5">
        <v>-2.4730123520388734</v>
      </c>
      <c r="U5">
        <v>-2.5236296465411687</v>
      </c>
    </row>
    <row r="6" spans="1:24">
      <c r="A6" t="s">
        <v>3</v>
      </c>
      <c r="B6">
        <v>-0.51917337920791051</v>
      </c>
      <c r="C6">
        <v>-0.71258673381606907</v>
      </c>
      <c r="D6">
        <v>-0.95416034816356554</v>
      </c>
      <c r="E6">
        <v>-1.0973463421819409</v>
      </c>
      <c r="F6">
        <v>-1.2596715998195265</v>
      </c>
      <c r="G6">
        <v>-1.501472166656157</v>
      </c>
      <c r="H6">
        <v>-1.6376311699847734</v>
      </c>
      <c r="I6">
        <v>-1.8082441564408374</v>
      </c>
      <c r="J6">
        <v>-2.0798361115481172</v>
      </c>
      <c r="K6">
        <v>-2.1850207508140458</v>
      </c>
      <c r="L6">
        <v>-2.2745423350679208</v>
      </c>
      <c r="M6">
        <v>-2.4576764491874856</v>
      </c>
      <c r="N6">
        <v>-2.5416599322676059</v>
      </c>
      <c r="O6">
        <v>-2.8727769807133852</v>
      </c>
      <c r="P6">
        <v>-3.2368663446399686</v>
      </c>
      <c r="Q6">
        <v>-3.3038527844273022</v>
      </c>
      <c r="R6">
        <v>-3.5077920280599222</v>
      </c>
      <c r="S6">
        <v>-3.4020269325101893</v>
      </c>
      <c r="T6">
        <v>-3.9564030263268095</v>
      </c>
      <c r="U6">
        <v>-4.3686087267982554</v>
      </c>
    </row>
    <row r="7" spans="1:24">
      <c r="A7" t="s">
        <v>4</v>
      </c>
      <c r="B7">
        <v>-0.4759042322873086</v>
      </c>
      <c r="C7">
        <v>-0.61099433930766545</v>
      </c>
      <c r="D7">
        <v>-0.80455927035132013</v>
      </c>
      <c r="E7">
        <v>-0.90705501271827249</v>
      </c>
      <c r="F7">
        <v>-1.0056289296650081</v>
      </c>
      <c r="G7">
        <v>-1.2334382319042567</v>
      </c>
      <c r="H7">
        <v>-1.3532707284040693</v>
      </c>
      <c r="I7">
        <v>-1.647533888374439</v>
      </c>
      <c r="J7">
        <v>-1.6531697381623247</v>
      </c>
      <c r="K7">
        <v>-1.7042101166424377</v>
      </c>
      <c r="L7">
        <v>-1.8371046431944249</v>
      </c>
      <c r="M7">
        <v>-1.9375885218829039</v>
      </c>
      <c r="N7">
        <v>-1.9381610777219893</v>
      </c>
      <c r="O7">
        <v>-2.0525245294451069</v>
      </c>
      <c r="P7">
        <v>-1.9851653316354732</v>
      </c>
      <c r="Q7">
        <v>-2.0864687617561017</v>
      </c>
      <c r="R7">
        <v>-2.2344321930862781</v>
      </c>
      <c r="S7">
        <v>-2.3485211617194124</v>
      </c>
      <c r="T7">
        <v>-2.3817890454074382</v>
      </c>
      <c r="U7">
        <v>-2.4042128755782017</v>
      </c>
    </row>
    <row r="8" spans="1:24">
      <c r="A8" t="s">
        <v>42</v>
      </c>
      <c r="B8">
        <v>-0.51783116384272376</v>
      </c>
      <c r="C8">
        <v>-0.69982521948864473</v>
      </c>
      <c r="D8">
        <v>-0.94610085979091463</v>
      </c>
      <c r="E8">
        <v>-1.1167285641552633</v>
      </c>
      <c r="F8">
        <v>-1.2988464311463592</v>
      </c>
      <c r="G8">
        <v>-1.4979562419796506</v>
      </c>
      <c r="H8">
        <v>-1.6243787943067154</v>
      </c>
      <c r="I8">
        <v>-1.7196847475364085</v>
      </c>
      <c r="J8">
        <v>-2.0129648692556272</v>
      </c>
      <c r="K8">
        <v>-2.2858150802120916</v>
      </c>
      <c r="L8">
        <v>-2.5628896402423718</v>
      </c>
      <c r="M8">
        <v>-2.8326391309472165</v>
      </c>
      <c r="N8">
        <v>-3.0880380979953959</v>
      </c>
      <c r="O8">
        <v>-3.1217303198858586</v>
      </c>
      <c r="P8">
        <v>-2.9338861504475844</v>
      </c>
      <c r="Q8">
        <v>-2.7380945196569502</v>
      </c>
      <c r="R8">
        <v>-3.2117305285068376</v>
      </c>
      <c r="S8">
        <v>-3.0643466439814993</v>
      </c>
      <c r="T8">
        <v>-3.4695392199260566</v>
      </c>
      <c r="U8">
        <v>-4.1623036973302234</v>
      </c>
    </row>
    <row r="9" spans="1:24">
      <c r="A9" t="s">
        <v>5</v>
      </c>
      <c r="B9">
        <v>-0.47720215159776919</v>
      </c>
      <c r="C9">
        <v>-0.60843917686800286</v>
      </c>
      <c r="D9">
        <v>-0.73330641199531477</v>
      </c>
      <c r="E9">
        <v>-0.76642261622527996</v>
      </c>
      <c r="F9">
        <v>-0.83142307425461204</v>
      </c>
      <c r="G9">
        <v>-0.90243288156178958</v>
      </c>
      <c r="H9">
        <v>-1.0343542615790497</v>
      </c>
      <c r="I9">
        <v>-1.0947031799772229</v>
      </c>
      <c r="J9">
        <v>-1.1539088480809081</v>
      </c>
      <c r="K9">
        <v>-1.2178274534415179</v>
      </c>
      <c r="L9">
        <v>-1.2850506352619666</v>
      </c>
      <c r="M9">
        <v>-1.4283633739549393</v>
      </c>
      <c r="N9">
        <v>-1.6029369367866118</v>
      </c>
      <c r="O9">
        <v>-1.6991255142401294</v>
      </c>
      <c r="P9">
        <v>-1.6353928755464686</v>
      </c>
      <c r="Q9">
        <v>-1.614243319986117</v>
      </c>
      <c r="R9">
        <v>-1.6452508187373533</v>
      </c>
      <c r="S9">
        <v>-1.6505134941160287</v>
      </c>
      <c r="T9">
        <v>-1.718862981515797</v>
      </c>
      <c r="U9">
        <v>-1.8449264192100436</v>
      </c>
    </row>
    <row r="10" spans="1:24">
      <c r="A10" t="s">
        <v>6</v>
      </c>
      <c r="B10">
        <v>-0.48214807309120561</v>
      </c>
      <c r="C10">
        <v>-0.6439082037206465</v>
      </c>
      <c r="D10">
        <v>-0.86947971825427894</v>
      </c>
      <c r="E10">
        <v>-1.0219170943446083</v>
      </c>
      <c r="F10">
        <v>-1.1737226248101915</v>
      </c>
      <c r="G10">
        <v>-1.4053297790355224</v>
      </c>
      <c r="H10">
        <v>-1.6205690006351432</v>
      </c>
      <c r="I10">
        <v>-1.8234152360887899</v>
      </c>
      <c r="J10">
        <v>-2.1430683071901293</v>
      </c>
      <c r="K10">
        <v>-2.5878892861955372</v>
      </c>
      <c r="L10">
        <v>-2.6542744437481276</v>
      </c>
      <c r="M10">
        <v>-2.8733811801607034</v>
      </c>
      <c r="N10">
        <v>-3.044147483417869</v>
      </c>
      <c r="O10">
        <v>-3.2720100062366226</v>
      </c>
      <c r="P10">
        <v>-3.4670053862723944</v>
      </c>
      <c r="Q10">
        <v>-3.0875981743623018</v>
      </c>
      <c r="R10">
        <v>-3.3166465358234531</v>
      </c>
      <c r="S10">
        <v>-3.4962574941397846</v>
      </c>
      <c r="T10">
        <v>-3.6470091635275583</v>
      </c>
      <c r="U10">
        <v>-4.1566586324040156</v>
      </c>
    </row>
  </sheetData>
  <phoneticPr fontId="0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0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"Chg_R_posneg_A _1.4A"</f>
        <v>Chg_R_posneg_A _1.4A</v>
      </c>
      <c r="C1" s="1" t="str">
        <f>"Chg_R_posneg_A _2A"</f>
        <v>Chg_R_posneg_A _2A</v>
      </c>
      <c r="D1" s="1" t="str">
        <f>"Chg_R_posneg_A _3A"</f>
        <v>Chg_R_posneg_A _3A</v>
      </c>
      <c r="E1" s="1" t="str">
        <f>"Chg_R_posneg_A _4A"</f>
        <v>Chg_R_posneg_A _4A</v>
      </c>
      <c r="F1" s="1" t="str">
        <f>"Chg_R_posneg_A _5A"</f>
        <v>Chg_R_posneg_A _5A</v>
      </c>
      <c r="G1" s="1" t="str">
        <f>"Chg_R_posneg_A _6A"</f>
        <v>Chg_R_posneg_A _6A</v>
      </c>
      <c r="H1" s="1" t="str">
        <f>"Chg_R_posneg_A _7A"</f>
        <v>Chg_R_posneg_A _7A</v>
      </c>
      <c r="I1" s="1" t="str">
        <f>"Chg_R_posneg_A _8A"</f>
        <v>Chg_R_posneg_A _8A</v>
      </c>
      <c r="J1" s="1" t="str">
        <f>"Chg_R_posneg_A _9A"</f>
        <v>Chg_R_posneg_A _9A</v>
      </c>
      <c r="K1" s="1" t="str">
        <f>"Chg_R_posneg_A _10A"</f>
        <v>Chg_R_posneg_A _10A</v>
      </c>
      <c r="L1" s="1" t="str">
        <f>"Chg_R_posneg_A _11A"</f>
        <v>Chg_R_posneg_A _11A</v>
      </c>
      <c r="M1" s="1" t="str">
        <f>"Chg_R_posneg_A _12A"</f>
        <v>Chg_R_posneg_A _12A</v>
      </c>
      <c r="N1" s="1" t="str">
        <f>"Chg_R_posneg_A _13A"</f>
        <v>Chg_R_posneg_A _13A</v>
      </c>
      <c r="O1" s="1" t="str">
        <f>"Chg_R_posneg_A _14A"</f>
        <v>Chg_R_posneg_A _14A</v>
      </c>
      <c r="P1" s="1" t="str">
        <f>"Chg_R_posneg_A _15A"</f>
        <v>Chg_R_posneg_A _15A</v>
      </c>
      <c r="Q1" s="1" t="str">
        <f>"Chg_R_posneg_A _16A"</f>
        <v>Chg_R_posneg_A _16A</v>
      </c>
      <c r="R1" s="1" t="str">
        <f>"Chg_R_posneg_A _17A"</f>
        <v>Chg_R_posneg_A _17A</v>
      </c>
      <c r="S1" s="1" t="str">
        <f>"Chg_R_posneg_A _18A"</f>
        <v>Chg_R_posneg_A _18A</v>
      </c>
      <c r="T1" s="1" t="str">
        <f>"Chg_R_posneg_A _19A"</f>
        <v>Chg_R_posneg_A _19A</v>
      </c>
      <c r="U1" s="1" t="str">
        <f>"Chg_R_posneg_A _20A"</f>
        <v>Chg_R_posneg_A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0.21479990637968135</v>
      </c>
      <c r="C3">
        <v>0.2361004737500533</v>
      </c>
      <c r="D3">
        <v>0.26938741738734212</v>
      </c>
      <c r="E3">
        <v>0.28852718303199704</v>
      </c>
      <c r="F3">
        <v>0.31004927509156938</v>
      </c>
      <c r="G3">
        <v>0.32453653839798741</v>
      </c>
      <c r="H3">
        <v>0.33301357444357277</v>
      </c>
      <c r="I3">
        <v>0.34534728686110494</v>
      </c>
      <c r="J3">
        <v>0.35405781026333505</v>
      </c>
      <c r="K3">
        <v>0.36033077631509031</v>
      </c>
      <c r="L3">
        <v>0.36154133793854393</v>
      </c>
      <c r="M3">
        <v>0.36923784165368967</v>
      </c>
      <c r="N3">
        <v>0.36752348963972969</v>
      </c>
      <c r="O3">
        <v>0.36349033554528792</v>
      </c>
      <c r="P3">
        <v>0.36249595319051647</v>
      </c>
      <c r="Q3">
        <v>0.36117063665183374</v>
      </c>
      <c r="R3">
        <v>0.36000001539974269</v>
      </c>
      <c r="S3">
        <v>0.36095958345187246</v>
      </c>
      <c r="T3">
        <v>0.37398345477118328</v>
      </c>
      <c r="U3">
        <v>0.38419463112023317</v>
      </c>
    </row>
    <row r="4" spans="1:24">
      <c r="A4" t="s">
        <v>1</v>
      </c>
      <c r="B4">
        <v>0.21462310410713381</v>
      </c>
      <c r="C4">
        <v>0.2338790951774406</v>
      </c>
      <c r="D4">
        <v>0.26729779430369649</v>
      </c>
      <c r="E4">
        <v>0.28798437057374432</v>
      </c>
      <c r="F4">
        <v>0.30571649842924337</v>
      </c>
      <c r="G4">
        <v>0.32422303558107451</v>
      </c>
      <c r="H4">
        <v>0.32884940735935453</v>
      </c>
      <c r="I4">
        <v>0.33665864258040568</v>
      </c>
      <c r="J4">
        <v>0.34167440852981884</v>
      </c>
      <c r="K4">
        <v>0.34868541097658223</v>
      </c>
      <c r="L4">
        <v>0.35244169318546459</v>
      </c>
      <c r="M4">
        <v>0.35694618065359057</v>
      </c>
      <c r="N4">
        <v>0.35811138469849385</v>
      </c>
      <c r="O4">
        <v>0.35625588553814624</v>
      </c>
      <c r="P4">
        <v>0.357554876753992</v>
      </c>
      <c r="Q4">
        <v>0.35972930977328432</v>
      </c>
      <c r="R4">
        <v>0.36224086570152375</v>
      </c>
      <c r="S4">
        <v>0.36162043011525019</v>
      </c>
      <c r="T4">
        <v>0.37265292763599944</v>
      </c>
      <c r="U4">
        <v>0.38439706570995591</v>
      </c>
    </row>
    <row r="5" spans="1:24">
      <c r="A5" t="s">
        <v>2</v>
      </c>
      <c r="B5">
        <v>0.20326362386767091</v>
      </c>
      <c r="C5">
        <v>0.22008683161070719</v>
      </c>
      <c r="D5">
        <v>0.25286811923498242</v>
      </c>
      <c r="E5">
        <v>0.27308161847289614</v>
      </c>
      <c r="F5">
        <v>0.29256159687758099</v>
      </c>
      <c r="G5">
        <v>0.30760928280659078</v>
      </c>
      <c r="H5">
        <v>0.31315263052227543</v>
      </c>
      <c r="I5">
        <v>0.31962235901484243</v>
      </c>
      <c r="J5">
        <v>0.32768665487056814</v>
      </c>
      <c r="K5">
        <v>0.33096254518899909</v>
      </c>
      <c r="L5">
        <v>0.34013238135441487</v>
      </c>
      <c r="M5">
        <v>0.33905395591278198</v>
      </c>
      <c r="N5">
        <v>0.34379932845648725</v>
      </c>
      <c r="O5">
        <v>0.34987163045324421</v>
      </c>
      <c r="P5">
        <v>0.3603057094960721</v>
      </c>
      <c r="Q5">
        <v>0.3621638348349096</v>
      </c>
      <c r="R5">
        <v>0.36765298999457069</v>
      </c>
      <c r="S5">
        <v>0.36038371294692179</v>
      </c>
      <c r="T5">
        <v>0.36741740943843992</v>
      </c>
      <c r="U5">
        <v>0.3731200734151035</v>
      </c>
    </row>
    <row r="6" spans="1:24">
      <c r="A6" t="s">
        <v>3</v>
      </c>
      <c r="B6">
        <v>0.21381507964393812</v>
      </c>
      <c r="C6">
        <v>0.2347294048417409</v>
      </c>
      <c r="D6">
        <v>0.26973122701931251</v>
      </c>
      <c r="E6">
        <v>0.28882622667707958</v>
      </c>
      <c r="F6">
        <v>0.30590435664060284</v>
      </c>
      <c r="G6">
        <v>0.31996741054486488</v>
      </c>
      <c r="H6">
        <v>0.32714007944417195</v>
      </c>
      <c r="I6">
        <v>0.33479577865785609</v>
      </c>
      <c r="J6">
        <v>0.3456744856028483</v>
      </c>
      <c r="K6">
        <v>0.35558271710056116</v>
      </c>
      <c r="L6">
        <v>0.36040058157375204</v>
      </c>
      <c r="M6">
        <v>0.36275886193665663</v>
      </c>
      <c r="N6">
        <v>0.3623876612826013</v>
      </c>
      <c r="O6">
        <v>0.36415429617231615</v>
      </c>
      <c r="P6">
        <v>0.36596121266777404</v>
      </c>
      <c r="Q6">
        <v>0.36165365467115984</v>
      </c>
      <c r="R6">
        <v>0.36296878177314917</v>
      </c>
      <c r="S6">
        <v>0.36337108137354951</v>
      </c>
      <c r="T6">
        <v>0.3808948557611842</v>
      </c>
      <c r="U6">
        <v>0.39213542878338142</v>
      </c>
    </row>
    <row r="7" spans="1:24">
      <c r="A7" t="s">
        <v>4</v>
      </c>
      <c r="B7">
        <v>0.20484592754471107</v>
      </c>
      <c r="C7">
        <v>0.22172020990656596</v>
      </c>
      <c r="D7">
        <v>0.25106071441662264</v>
      </c>
      <c r="E7">
        <v>0.26153903633412612</v>
      </c>
      <c r="F7">
        <v>0.27663340214826404</v>
      </c>
      <c r="G7">
        <v>0.29706672012930246</v>
      </c>
      <c r="H7">
        <v>0.30670151436504656</v>
      </c>
      <c r="I7">
        <v>0.32451149208425895</v>
      </c>
      <c r="J7">
        <v>0.32371032667444383</v>
      </c>
      <c r="K7">
        <v>0.32966622617839064</v>
      </c>
      <c r="L7">
        <v>0.33551497210342873</v>
      </c>
      <c r="M7">
        <v>0.33865153771969875</v>
      </c>
      <c r="N7">
        <v>0.3367017557090628</v>
      </c>
      <c r="O7">
        <v>0.3420423951697163</v>
      </c>
      <c r="P7">
        <v>0.33970632292792907</v>
      </c>
      <c r="Q7">
        <v>0.33607337657258013</v>
      </c>
      <c r="R7">
        <v>0.33815689618577005</v>
      </c>
      <c r="S7">
        <v>0.34012245204488589</v>
      </c>
      <c r="T7">
        <v>0.3463598679600503</v>
      </c>
      <c r="U7">
        <v>0.34956393535181191</v>
      </c>
    </row>
    <row r="8" spans="1:24">
      <c r="A8" t="s">
        <v>42</v>
      </c>
      <c r="B8">
        <v>0.21481436608068175</v>
      </c>
      <c r="C8">
        <v>0.23315433771067226</v>
      </c>
      <c r="D8">
        <v>0.26791485872025622</v>
      </c>
      <c r="E8">
        <v>0.2875199038516158</v>
      </c>
      <c r="F8">
        <v>0.31027665547330652</v>
      </c>
      <c r="G8">
        <v>0.32258213152701676</v>
      </c>
      <c r="H8">
        <v>0.32970294985805382</v>
      </c>
      <c r="I8">
        <v>0.33533356589426194</v>
      </c>
      <c r="J8">
        <v>0.34225436194065545</v>
      </c>
      <c r="K8">
        <v>0.35636206877780913</v>
      </c>
      <c r="L8">
        <v>0.36509703813123406</v>
      </c>
      <c r="M8">
        <v>0.36768661650854007</v>
      </c>
      <c r="N8">
        <v>0.36766984140197045</v>
      </c>
      <c r="O8">
        <v>0.36430428742151105</v>
      </c>
      <c r="P8">
        <v>0.36440536809743551</v>
      </c>
      <c r="Q8">
        <v>0.36192764982228282</v>
      </c>
      <c r="R8">
        <v>0.37352323048176778</v>
      </c>
      <c r="S8">
        <v>0.37203919725978912</v>
      </c>
      <c r="T8">
        <v>0.38868594513285476</v>
      </c>
      <c r="U8">
        <v>0.40371724739647585</v>
      </c>
    </row>
    <row r="9" spans="1:24">
      <c r="A9" t="s">
        <v>5</v>
      </c>
      <c r="B9">
        <v>0.20968517516325721</v>
      </c>
      <c r="C9">
        <v>0.22591539501763513</v>
      </c>
      <c r="D9">
        <v>0.25174449148857214</v>
      </c>
      <c r="E9">
        <v>0.26116767169572258</v>
      </c>
      <c r="F9">
        <v>0.27557036216341929</v>
      </c>
      <c r="G9">
        <v>0.28500140555495657</v>
      </c>
      <c r="H9">
        <v>0.29873909262223081</v>
      </c>
      <c r="I9">
        <v>0.30550431723814808</v>
      </c>
      <c r="J9">
        <v>0.31138301072048014</v>
      </c>
      <c r="K9">
        <v>0.31649039580405225</v>
      </c>
      <c r="L9">
        <v>0.31403846010682634</v>
      </c>
      <c r="M9">
        <v>0.32478688192320238</v>
      </c>
      <c r="N9">
        <v>0.33600437439283815</v>
      </c>
      <c r="O9">
        <v>0.33676384103558854</v>
      </c>
      <c r="P9">
        <v>0.33434511452411569</v>
      </c>
      <c r="Q9">
        <v>0.32975082213400259</v>
      </c>
      <c r="R9">
        <v>0.3330157371172226</v>
      </c>
      <c r="S9">
        <v>0.33064480167353899</v>
      </c>
      <c r="T9">
        <v>0.33503660547844083</v>
      </c>
      <c r="U9">
        <v>0.34989019521546338</v>
      </c>
    </row>
    <row r="10" spans="1:24">
      <c r="A10" t="s">
        <v>6</v>
      </c>
      <c r="B10">
        <v>0.20840042138686088</v>
      </c>
      <c r="C10">
        <v>0.22682682911164806</v>
      </c>
      <c r="D10">
        <v>0.26010375495038363</v>
      </c>
      <c r="E10">
        <v>0.27682238191499997</v>
      </c>
      <c r="F10">
        <v>0.29071011066272867</v>
      </c>
      <c r="G10">
        <v>0.30910113691740621</v>
      </c>
      <c r="H10">
        <v>0.31944570974119824</v>
      </c>
      <c r="I10">
        <v>0.32928238779259345</v>
      </c>
      <c r="J10">
        <v>0.34429399109063802</v>
      </c>
      <c r="K10">
        <v>0.35977613940131803</v>
      </c>
      <c r="L10">
        <v>0.36110025703837278</v>
      </c>
      <c r="M10">
        <v>0.36394298017077104</v>
      </c>
      <c r="N10">
        <v>0.36164524951678284</v>
      </c>
      <c r="O10">
        <v>0.36653315355329952</v>
      </c>
      <c r="P10">
        <v>0.37096272168542332</v>
      </c>
      <c r="Q10">
        <v>0.3605067023298455</v>
      </c>
      <c r="R10">
        <v>0.36232225659696221</v>
      </c>
      <c r="S10">
        <v>0.36566831181674869</v>
      </c>
      <c r="T10">
        <v>0.37145379337522055</v>
      </c>
      <c r="U10">
        <v>0.37147369314572365</v>
      </c>
    </row>
  </sheetData>
  <phoneticPr fontId="0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21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"T_A_1.4A"</f>
        <v>T_A_1.4A</v>
      </c>
      <c r="C1" s="1" t="str">
        <f>"T_A_2A"</f>
        <v>T_A_2A</v>
      </c>
      <c r="D1" s="1" t="str">
        <f>"T_A_3A"</f>
        <v>T_A_3A</v>
      </c>
      <c r="E1" s="1" t="str">
        <f>"T_A_4A"</f>
        <v>T_A_4A</v>
      </c>
      <c r="F1" s="1" t="str">
        <f>"T_A_5A"</f>
        <v>T_A_5A</v>
      </c>
      <c r="G1" s="1" t="str">
        <f>"T_A_6A"</f>
        <v>T_A_6A</v>
      </c>
      <c r="H1" s="1" t="str">
        <f>"T_A_7A"</f>
        <v>T_A_7A</v>
      </c>
      <c r="I1" s="1" t="str">
        <f>"T_A_8A"</f>
        <v>T_A_8A</v>
      </c>
      <c r="J1" s="1" t="str">
        <f>"T_A_9A"</f>
        <v>T_A_9A</v>
      </c>
      <c r="K1" s="1" t="str">
        <f>"T_A_10A"</f>
        <v>T_A_10A</v>
      </c>
      <c r="L1" s="1" t="str">
        <f>"T_A_11A"</f>
        <v>T_A_11A</v>
      </c>
      <c r="M1" s="1" t="str">
        <f>"T_A_12A"</f>
        <v>T_A_12A</v>
      </c>
      <c r="N1" s="1" t="str">
        <f>"T_A_13A"</f>
        <v>T_A_13A</v>
      </c>
      <c r="O1" s="1" t="str">
        <f>"T_A_14A"</f>
        <v>T_A_14A</v>
      </c>
      <c r="P1" s="1" t="str">
        <f>"T_A_15A"</f>
        <v>T_A_15A</v>
      </c>
      <c r="Q1" s="1" t="str">
        <f>"T_A_16A"</f>
        <v>T_A_16A</v>
      </c>
      <c r="R1" s="1" t="str">
        <f>"T_A_17A"</f>
        <v>T_A_17A</v>
      </c>
      <c r="S1" s="1" t="str">
        <f>"T_A_18A"</f>
        <v>T_A_18A</v>
      </c>
      <c r="T1" s="1" t="str">
        <f>"T_A_19A"</f>
        <v>T_A_19A</v>
      </c>
      <c r="U1" s="1" t="str">
        <f>"T_A_20A"</f>
        <v>T_A_20A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8584.5640000000003</v>
      </c>
      <c r="C3">
        <v>5564.6679999999997</v>
      </c>
      <c r="D3">
        <v>3237.1089999999999</v>
      </c>
      <c r="E3">
        <v>2155.6309999999999</v>
      </c>
      <c r="F3">
        <v>1584.8119999999999</v>
      </c>
      <c r="G3">
        <v>1238.5050000000001</v>
      </c>
      <c r="H3">
        <v>1011.49</v>
      </c>
      <c r="I3">
        <v>852.3374</v>
      </c>
      <c r="J3">
        <v>734.41079999999999</v>
      </c>
      <c r="K3">
        <v>650.2079</v>
      </c>
      <c r="L3">
        <v>582.94770000000005</v>
      </c>
      <c r="M3">
        <v>522.72490000000005</v>
      </c>
      <c r="N3">
        <v>475.87520000000001</v>
      </c>
      <c r="O3">
        <v>438.25259999999997</v>
      </c>
      <c r="P3">
        <v>401.07490000000001</v>
      </c>
      <c r="Q3">
        <v>374.40899999999999</v>
      </c>
      <c r="R3">
        <v>353.25299999999999</v>
      </c>
      <c r="S3">
        <v>332.47399999999999</v>
      </c>
      <c r="T3">
        <v>312.31240000000003</v>
      </c>
      <c r="U3">
        <v>299.97680000000003</v>
      </c>
    </row>
    <row r="4" spans="1:24">
      <c r="A4" t="s">
        <v>1</v>
      </c>
      <c r="B4">
        <v>8619.8349999999991</v>
      </c>
      <c r="C4">
        <v>5576.5959999999995</v>
      </c>
      <c r="D4">
        <v>3255.5369999999998</v>
      </c>
      <c r="E4">
        <v>2155.1320000000001</v>
      </c>
      <c r="F4">
        <v>1583.14</v>
      </c>
      <c r="G4">
        <v>1244.5550000000001</v>
      </c>
      <c r="H4">
        <v>1007.421</v>
      </c>
      <c r="I4">
        <v>852.7876</v>
      </c>
      <c r="J4">
        <v>739.55849999999998</v>
      </c>
      <c r="K4">
        <v>652.65329999999994</v>
      </c>
      <c r="L4">
        <v>580.79819999999995</v>
      </c>
      <c r="M4">
        <v>523.85889999999995</v>
      </c>
      <c r="N4">
        <v>476.66160000000002</v>
      </c>
      <c r="O4">
        <v>441.57749999999999</v>
      </c>
      <c r="P4">
        <v>411.71910000000003</v>
      </c>
      <c r="Q4">
        <v>383.10899999999998</v>
      </c>
      <c r="R4">
        <v>360.20929999999998</v>
      </c>
      <c r="S4">
        <v>341.22629999999998</v>
      </c>
      <c r="T4">
        <v>316.64580000000001</v>
      </c>
      <c r="U4">
        <v>300.36689999999999</v>
      </c>
    </row>
    <row r="5" spans="1:24">
      <c r="A5" t="s">
        <v>2</v>
      </c>
      <c r="B5">
        <v>8416.6460000000006</v>
      </c>
      <c r="C5">
        <v>5464.5439999999999</v>
      </c>
      <c r="D5">
        <v>3236.7359999999999</v>
      </c>
      <c r="E5">
        <v>2163.86</v>
      </c>
      <c r="F5">
        <v>1591.5989999999999</v>
      </c>
      <c r="G5">
        <v>1256.5830000000001</v>
      </c>
      <c r="H5">
        <v>1028.845</v>
      </c>
      <c r="I5">
        <v>863.22709999999995</v>
      </c>
      <c r="J5">
        <v>743.67409999999995</v>
      </c>
      <c r="K5">
        <v>648.11670000000004</v>
      </c>
      <c r="L5">
        <v>573.34090000000003</v>
      </c>
      <c r="M5">
        <v>523.0865</v>
      </c>
      <c r="N5">
        <v>476.73289999999997</v>
      </c>
      <c r="O5">
        <v>438.7072</v>
      </c>
      <c r="P5">
        <v>408.56900000000002</v>
      </c>
      <c r="Q5">
        <v>382.97089999999997</v>
      </c>
      <c r="R5">
        <v>356.19009999999997</v>
      </c>
      <c r="S5">
        <v>335.06099999999998</v>
      </c>
      <c r="T5">
        <v>316.50850000000003</v>
      </c>
      <c r="U5">
        <v>300.7527</v>
      </c>
    </row>
    <row r="6" spans="1:24">
      <c r="A6" t="s">
        <v>3</v>
      </c>
      <c r="B6">
        <v>8594.7849999999999</v>
      </c>
      <c r="C6">
        <v>5589.5720000000001</v>
      </c>
      <c r="D6">
        <v>3250.8789999999999</v>
      </c>
      <c r="E6">
        <v>2155.2849999999999</v>
      </c>
      <c r="F6">
        <v>1588.46</v>
      </c>
      <c r="G6">
        <v>1243.442</v>
      </c>
      <c r="H6">
        <v>1010.104</v>
      </c>
      <c r="I6">
        <v>856.55629999999996</v>
      </c>
      <c r="J6">
        <v>739.50519999999995</v>
      </c>
      <c r="K6">
        <v>649.24869999999999</v>
      </c>
      <c r="L6">
        <v>582.54790000000003</v>
      </c>
      <c r="M6">
        <v>523.58550000000002</v>
      </c>
      <c r="N6">
        <v>476.68619999999999</v>
      </c>
      <c r="O6">
        <v>436.04450000000003</v>
      </c>
      <c r="P6">
        <v>405.3229</v>
      </c>
      <c r="Q6">
        <v>376.15010000000001</v>
      </c>
      <c r="R6">
        <v>349.87830000000002</v>
      </c>
      <c r="S6">
        <v>331.9821</v>
      </c>
      <c r="T6">
        <v>310.22570000000002</v>
      </c>
      <c r="U6">
        <v>298.00599999999997</v>
      </c>
    </row>
    <row r="7" spans="1:24">
      <c r="A7" t="s">
        <v>4</v>
      </c>
      <c r="B7">
        <v>8416.3770000000004</v>
      </c>
      <c r="C7">
        <v>5488.326</v>
      </c>
      <c r="D7">
        <v>3208.3139999999999</v>
      </c>
      <c r="E7">
        <v>2177.8809999999999</v>
      </c>
      <c r="F7">
        <v>1608.4280000000001</v>
      </c>
      <c r="G7">
        <v>1255.117</v>
      </c>
      <c r="H7">
        <v>1017.7809999999999</v>
      </c>
      <c r="I7">
        <v>861.74260000000004</v>
      </c>
      <c r="J7">
        <v>745.37940000000003</v>
      </c>
      <c r="K7">
        <v>655.54039999999998</v>
      </c>
      <c r="L7">
        <v>582.69529999999997</v>
      </c>
      <c r="M7">
        <v>527.19079999999997</v>
      </c>
      <c r="N7">
        <v>482.09930000000003</v>
      </c>
      <c r="O7">
        <v>444.29860000000002</v>
      </c>
      <c r="P7">
        <v>412.74669999999998</v>
      </c>
      <c r="Q7">
        <v>385.99709999999999</v>
      </c>
      <c r="R7">
        <v>359.358</v>
      </c>
      <c r="S7">
        <v>339.04669999999999</v>
      </c>
      <c r="T7">
        <v>318.9504</v>
      </c>
      <c r="U7">
        <v>304.99990000000003</v>
      </c>
    </row>
    <row r="8" spans="1:24">
      <c r="A8" t="s">
        <v>42</v>
      </c>
      <c r="B8">
        <v>8582.6049999999996</v>
      </c>
      <c r="C8">
        <v>5580.8360000000002</v>
      </c>
      <c r="D8">
        <v>3256.0740000000001</v>
      </c>
      <c r="E8">
        <v>2153.2759999999998</v>
      </c>
      <c r="F8">
        <v>1593.9380000000001</v>
      </c>
      <c r="G8">
        <v>1245.7380000000001</v>
      </c>
      <c r="H8">
        <v>1011.285</v>
      </c>
      <c r="I8">
        <v>853.62630000000001</v>
      </c>
      <c r="J8">
        <v>739.49900000000002</v>
      </c>
      <c r="K8">
        <v>647.83969999999999</v>
      </c>
      <c r="L8">
        <v>574.16330000000005</v>
      </c>
      <c r="M8">
        <v>518.97159999999997</v>
      </c>
      <c r="N8">
        <v>473.1884</v>
      </c>
      <c r="O8">
        <v>438.26839999999999</v>
      </c>
      <c r="P8">
        <v>404.65839999999997</v>
      </c>
      <c r="Q8">
        <v>377.5401</v>
      </c>
      <c r="R8">
        <v>353.50470000000001</v>
      </c>
      <c r="S8">
        <v>332.589</v>
      </c>
      <c r="T8">
        <v>311.02449999999999</v>
      </c>
      <c r="U8">
        <v>296.99680000000001</v>
      </c>
    </row>
    <row r="9" spans="1:24">
      <c r="A9" t="s">
        <v>5</v>
      </c>
      <c r="B9">
        <v>8382.0550000000003</v>
      </c>
      <c r="C9">
        <v>5450.8220000000001</v>
      </c>
      <c r="D9">
        <v>3180.7959999999998</v>
      </c>
      <c r="E9">
        <v>2149.9839999999999</v>
      </c>
      <c r="F9">
        <v>1579.5830000000001</v>
      </c>
      <c r="G9">
        <v>1238.3320000000001</v>
      </c>
      <c r="H9">
        <v>1011.587</v>
      </c>
      <c r="I9">
        <v>849.30579999999998</v>
      </c>
      <c r="J9">
        <v>741.64200000000005</v>
      </c>
      <c r="K9">
        <v>647.70860000000005</v>
      </c>
      <c r="L9">
        <v>582.48599999999999</v>
      </c>
      <c r="M9">
        <v>520.2799</v>
      </c>
      <c r="N9">
        <v>472.53710000000001</v>
      </c>
      <c r="O9">
        <v>435.74090000000001</v>
      </c>
      <c r="P9">
        <v>402.9402</v>
      </c>
      <c r="Q9">
        <v>382.52409999999998</v>
      </c>
      <c r="R9">
        <v>355.92290000000003</v>
      </c>
      <c r="S9">
        <v>332.4187</v>
      </c>
      <c r="T9">
        <v>314.32569999999998</v>
      </c>
      <c r="U9">
        <v>301.80689999999998</v>
      </c>
    </row>
    <row r="10" spans="1:24">
      <c r="A10" t="s">
        <v>6</v>
      </c>
      <c r="B10">
        <v>8422.7890000000007</v>
      </c>
      <c r="C10">
        <v>5482.0950000000003</v>
      </c>
      <c r="D10">
        <v>3218.3939999999998</v>
      </c>
      <c r="E10">
        <v>2158.2530000000002</v>
      </c>
      <c r="F10">
        <v>1603.374</v>
      </c>
      <c r="G10">
        <v>1253.1849999999999</v>
      </c>
      <c r="H10">
        <v>1018.172</v>
      </c>
      <c r="I10">
        <v>862.80849999999998</v>
      </c>
      <c r="J10">
        <v>752.91470000000004</v>
      </c>
      <c r="K10">
        <v>657.61479999999995</v>
      </c>
      <c r="L10">
        <v>586.24429999999995</v>
      </c>
      <c r="M10">
        <v>525.8768</v>
      </c>
      <c r="N10">
        <v>480.72879999999998</v>
      </c>
      <c r="O10">
        <v>441.06920000000002</v>
      </c>
      <c r="P10">
        <v>407.42840000000001</v>
      </c>
      <c r="Q10">
        <v>377.82530000000003</v>
      </c>
      <c r="R10">
        <v>354.87779999999998</v>
      </c>
      <c r="S10">
        <v>335.00799999999998</v>
      </c>
      <c r="T10">
        <v>317.39760000000001</v>
      </c>
      <c r="U10">
        <v>300.51990000000001</v>
      </c>
    </row>
  </sheetData>
  <phoneticPr fontId="0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22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"Shape_factor_1.4A"</f>
        <v>Shape_factor_1.4A</v>
      </c>
      <c r="C1" s="1" t="str">
        <f>"Shape_factor_2A"</f>
        <v>Shape_factor_2A</v>
      </c>
      <c r="D1" s="1" t="str">
        <f>"Shape_factor_3A"</f>
        <v>Shape_factor_3A</v>
      </c>
      <c r="E1" s="1" t="str">
        <f>"Shape_factor_4A"</f>
        <v>Shape_factor_4A</v>
      </c>
      <c r="F1" s="1" t="str">
        <f>"Shape_factor_5A"</f>
        <v>Shape_factor_5A</v>
      </c>
      <c r="G1" s="1" t="str">
        <f>"Shape_factor_6A"</f>
        <v>Shape_factor_6A</v>
      </c>
      <c r="H1" s="1" t="str">
        <f>"Shape_factor_7A"</f>
        <v>Shape_factor_7A</v>
      </c>
      <c r="I1" s="1" t="str">
        <f>"Shape_factor_8A"</f>
        <v>Shape_factor_8A</v>
      </c>
      <c r="J1" s="1" t="str">
        <f>"Shape_factor_9A"</f>
        <v>Shape_factor_9A</v>
      </c>
      <c r="K1" s="1" t="str">
        <f>"Shape_factor_10A"</f>
        <v>Shape_factor_10A</v>
      </c>
      <c r="L1" s="1" t="str">
        <f>"Shape_factor_11A"</f>
        <v>Shape_factor_11A</v>
      </c>
      <c r="M1" s="1" t="str">
        <f>"Shape_factor_12A"</f>
        <v>Shape_factor_12A</v>
      </c>
      <c r="N1" s="1" t="str">
        <f>"Shape_factor_13A"</f>
        <v>Shape_factor_13A</v>
      </c>
      <c r="O1" s="1" t="str">
        <f>"Shape_factor_14A"</f>
        <v>Shape_factor_14A</v>
      </c>
      <c r="P1" s="1" t="str">
        <f>"Shape_factor_15A"</f>
        <v>Shape_factor_15A</v>
      </c>
      <c r="Q1" s="1" t="str">
        <f>"Shape_factor_16A"</f>
        <v>Shape_factor_16A</v>
      </c>
      <c r="R1" s="1" t="str">
        <f>"Shape_factor_17A"</f>
        <v>Shape_factor_17A</v>
      </c>
      <c r="S1" s="1" t="str">
        <f>"Shape_factor_18A"</f>
        <v>Shape_factor_18A</v>
      </c>
      <c r="T1" s="1" t="str">
        <f>"Shape_factor_19A"</f>
        <v>Shape_factor_19A</v>
      </c>
      <c r="U1" s="1" t="str">
        <f>"Shape_factor_20A"</f>
        <v>Shape_factor_20A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1.9662308749427395</v>
      </c>
      <c r="C3">
        <v>1.2745460375629867</v>
      </c>
      <c r="D3">
        <v>0.74143586807146122</v>
      </c>
      <c r="E3">
        <v>0.49373133302794314</v>
      </c>
      <c r="F3">
        <v>0.36298946404031146</v>
      </c>
      <c r="G3">
        <v>0.28367040769583146</v>
      </c>
      <c r="H3">
        <v>0.23167430142006412</v>
      </c>
      <c r="I3">
        <v>0.19522157581310123</v>
      </c>
      <c r="J3">
        <v>0.16821136051305544</v>
      </c>
      <c r="K3">
        <v>0.1489253092075126</v>
      </c>
      <c r="L3">
        <v>0.13351985799358682</v>
      </c>
      <c r="M3">
        <v>0.11972627118644069</v>
      </c>
      <c r="N3">
        <v>0.10899569399908383</v>
      </c>
      <c r="O3">
        <v>0.10037851580393953</v>
      </c>
      <c r="P3">
        <v>9.1863238662391211E-2</v>
      </c>
      <c r="Q3">
        <v>8.575561154374714E-2</v>
      </c>
      <c r="R3">
        <v>8.0909986257443875E-2</v>
      </c>
      <c r="S3">
        <v>7.6150710032065957E-2</v>
      </c>
      <c r="T3">
        <v>7.1532844709115903E-2</v>
      </c>
      <c r="U3">
        <v>6.8707466788822724E-2</v>
      </c>
    </row>
    <row r="4" spans="1:24">
      <c r="A4" t="s">
        <v>1</v>
      </c>
      <c r="B4">
        <v>1.9734054487179484</v>
      </c>
      <c r="C4">
        <v>1.2766932234432233</v>
      </c>
      <c r="D4">
        <v>0.74531524725274723</v>
      </c>
      <c r="E4">
        <v>0.49339102564102566</v>
      </c>
      <c r="F4">
        <v>0.3624404761904762</v>
      </c>
      <c r="G4">
        <v>0.28492559523809524</v>
      </c>
      <c r="H4">
        <v>0.23063667582417582</v>
      </c>
      <c r="I4">
        <v>0.19523525641025641</v>
      </c>
      <c r="J4">
        <v>0.16931284340659339</v>
      </c>
      <c r="K4">
        <v>0.14941696428571427</v>
      </c>
      <c r="L4">
        <v>0.13296662087912087</v>
      </c>
      <c r="M4">
        <v>0.11993106684981684</v>
      </c>
      <c r="N4">
        <v>0.10912582417582418</v>
      </c>
      <c r="O4">
        <v>0.10109375</v>
      </c>
      <c r="P4">
        <v>9.4258035714285718E-2</v>
      </c>
      <c r="Q4">
        <v>8.7708104395604392E-2</v>
      </c>
      <c r="R4">
        <v>8.2465499084249078E-2</v>
      </c>
      <c r="S4">
        <v>7.8119574175824172E-2</v>
      </c>
      <c r="T4">
        <v>7.2492170329670327E-2</v>
      </c>
      <c r="U4">
        <v>6.8765315934065929E-2</v>
      </c>
    </row>
    <row r="5" spans="1:24">
      <c r="A5" t="s">
        <v>2</v>
      </c>
      <c r="B5">
        <v>1.9268878205128206</v>
      </c>
      <c r="C5">
        <v>1.2510402930402931</v>
      </c>
      <c r="D5">
        <v>0.74101098901098894</v>
      </c>
      <c r="E5">
        <v>0.49538919413919419</v>
      </c>
      <c r="F5">
        <v>0.36437706043956042</v>
      </c>
      <c r="G5">
        <v>0.28767925824175827</v>
      </c>
      <c r="H5">
        <v>0.23554143772893774</v>
      </c>
      <c r="I5">
        <v>0.19762525183150181</v>
      </c>
      <c r="J5">
        <v>0.17025505952380951</v>
      </c>
      <c r="K5">
        <v>0.14837836538461538</v>
      </c>
      <c r="L5">
        <v>0.13125936355311357</v>
      </c>
      <c r="M5">
        <v>0.11975423534798535</v>
      </c>
      <c r="N5">
        <v>0.10914214743589742</v>
      </c>
      <c r="O5">
        <v>0.10043663003663003</v>
      </c>
      <c r="P5">
        <v>9.3536858974358983E-2</v>
      </c>
      <c r="Q5">
        <v>8.7676488095238092E-2</v>
      </c>
      <c r="R5">
        <v>8.1545352564102558E-2</v>
      </c>
      <c r="S5">
        <v>7.6708104395604396E-2</v>
      </c>
      <c r="T5">
        <v>7.2460737179487186E-2</v>
      </c>
      <c r="U5">
        <v>6.8853640109890105E-2</v>
      </c>
    </row>
    <row r="6" spans="1:24">
      <c r="A6" t="s">
        <v>3</v>
      </c>
      <c r="B6">
        <v>1.9640733546617914</v>
      </c>
      <c r="C6">
        <v>1.2773244972577698</v>
      </c>
      <c r="D6">
        <v>0.74288825411334547</v>
      </c>
      <c r="E6">
        <v>0.4925239945155393</v>
      </c>
      <c r="F6">
        <v>0.36299360146252285</v>
      </c>
      <c r="G6">
        <v>0.284150365630713</v>
      </c>
      <c r="H6">
        <v>0.23082815356489947</v>
      </c>
      <c r="I6">
        <v>0.1957395566727605</v>
      </c>
      <c r="J6">
        <v>0.16899113345521022</v>
      </c>
      <c r="K6">
        <v>0.14836579067641681</v>
      </c>
      <c r="L6">
        <v>0.13312337751371114</v>
      </c>
      <c r="M6">
        <v>0.11964933729433273</v>
      </c>
      <c r="N6">
        <v>0.10893194698354662</v>
      </c>
      <c r="O6">
        <v>9.9644538391224863E-2</v>
      </c>
      <c r="P6">
        <v>9.2624063071297988E-2</v>
      </c>
      <c r="Q6">
        <v>8.5957518281535653E-2</v>
      </c>
      <c r="R6">
        <v>7.9953907678244979E-2</v>
      </c>
      <c r="S6">
        <v>7.5864282449725776E-2</v>
      </c>
      <c r="T6">
        <v>7.0892527422303481E-2</v>
      </c>
      <c r="U6">
        <v>6.810009140767824E-2</v>
      </c>
    </row>
    <row r="7" spans="1:24">
      <c r="A7" t="s">
        <v>4</v>
      </c>
      <c r="B7">
        <v>1.9206702418986765</v>
      </c>
      <c r="C7">
        <v>1.2524705613874942</v>
      </c>
      <c r="D7">
        <v>0.73215746234596069</v>
      </c>
      <c r="E7">
        <v>0.49700616157005928</v>
      </c>
      <c r="F7">
        <v>0.36705340027384759</v>
      </c>
      <c r="G7">
        <v>0.28642560474669099</v>
      </c>
      <c r="H7">
        <v>0.23226403468735735</v>
      </c>
      <c r="I7">
        <v>0.19665508900045642</v>
      </c>
      <c r="J7">
        <v>0.17010027384755819</v>
      </c>
      <c r="K7">
        <v>0.14959844819717025</v>
      </c>
      <c r="L7">
        <v>0.13297473756275674</v>
      </c>
      <c r="M7">
        <v>0.12030826106800548</v>
      </c>
      <c r="N7">
        <v>0.11001809675947057</v>
      </c>
      <c r="O7">
        <v>0.10139173893199453</v>
      </c>
      <c r="P7">
        <v>9.4191396622546775E-2</v>
      </c>
      <c r="Q7">
        <v>8.8086969420356001E-2</v>
      </c>
      <c r="R7">
        <v>8.2007759014148793E-2</v>
      </c>
      <c r="S7">
        <v>7.7372592423550893E-2</v>
      </c>
      <c r="T7">
        <v>7.2786490187129169E-2</v>
      </c>
      <c r="U7">
        <v>6.9602898219990883E-2</v>
      </c>
    </row>
    <row r="8" spans="1:24">
      <c r="A8" t="s">
        <v>42</v>
      </c>
      <c r="B8">
        <v>1.9586045184847101</v>
      </c>
      <c r="C8">
        <v>1.2735819260611594</v>
      </c>
      <c r="D8">
        <v>0.74305659516202649</v>
      </c>
      <c r="E8">
        <v>0.49139114559561842</v>
      </c>
      <c r="F8">
        <v>0.36374669100867185</v>
      </c>
      <c r="G8">
        <v>0.28428525787311731</v>
      </c>
      <c r="H8">
        <v>0.2307816065723414</v>
      </c>
      <c r="I8">
        <v>0.19480289821999089</v>
      </c>
      <c r="J8">
        <v>0.16875832952989503</v>
      </c>
      <c r="K8">
        <v>0.14784109995435873</v>
      </c>
      <c r="L8">
        <v>0.13102768142400731</v>
      </c>
      <c r="M8">
        <v>0.11843258785942491</v>
      </c>
      <c r="N8">
        <v>0.10798457325422181</v>
      </c>
      <c r="O8">
        <v>0.10001560931081697</v>
      </c>
      <c r="P8">
        <v>9.2345595618439066E-2</v>
      </c>
      <c r="Q8">
        <v>8.6157028753993614E-2</v>
      </c>
      <c r="R8">
        <v>8.0671999087174803E-2</v>
      </c>
      <c r="S8">
        <v>7.5898904609767226E-2</v>
      </c>
      <c r="T8">
        <v>7.0977749885896849E-2</v>
      </c>
      <c r="U8">
        <v>6.7776540392514836E-2</v>
      </c>
    </row>
    <row r="9" spans="1:24">
      <c r="A9" t="s">
        <v>5</v>
      </c>
      <c r="B9">
        <v>1.91109325125399</v>
      </c>
      <c r="C9">
        <v>1.2427774737802098</v>
      </c>
      <c r="D9">
        <v>0.72521568627450972</v>
      </c>
      <c r="E9">
        <v>0.49019243046055627</v>
      </c>
      <c r="F9">
        <v>0.36014204286365709</v>
      </c>
      <c r="G9">
        <v>0.28233743730050165</v>
      </c>
      <c r="H9">
        <v>0.23063999088007295</v>
      </c>
      <c r="I9">
        <v>0.19364017327861377</v>
      </c>
      <c r="J9">
        <v>0.16909302325581396</v>
      </c>
      <c r="K9">
        <v>0.14767637938896491</v>
      </c>
      <c r="L9">
        <v>0.13280574555403557</v>
      </c>
      <c r="M9">
        <v>0.11862286821705427</v>
      </c>
      <c r="N9">
        <v>0.10773759689922481</v>
      </c>
      <c r="O9">
        <v>9.9348130414956687E-2</v>
      </c>
      <c r="P9">
        <v>9.1869630642954864E-2</v>
      </c>
      <c r="Q9">
        <v>8.7214797081623344E-2</v>
      </c>
      <c r="R9">
        <v>8.1149772001823994E-2</v>
      </c>
      <c r="S9">
        <v>7.5790857273141818E-2</v>
      </c>
      <c r="T9">
        <v>7.1665686274509796E-2</v>
      </c>
      <c r="U9">
        <v>6.8811422708618328E-2</v>
      </c>
    </row>
    <row r="10" spans="1:24">
      <c r="A10" t="s">
        <v>6</v>
      </c>
      <c r="B10">
        <v>1.9203805289557685</v>
      </c>
      <c r="C10">
        <v>1.2499076607387141</v>
      </c>
      <c r="D10">
        <v>0.73378796169630633</v>
      </c>
      <c r="E10">
        <v>0.49207774737802101</v>
      </c>
      <c r="F10">
        <v>0.36556634746922023</v>
      </c>
      <c r="G10">
        <v>0.28572389420884631</v>
      </c>
      <c r="H10">
        <v>0.23214135886912907</v>
      </c>
      <c r="I10">
        <v>0.19671876424988599</v>
      </c>
      <c r="J10">
        <v>0.17166317829457364</v>
      </c>
      <c r="K10">
        <v>0.14993497492020064</v>
      </c>
      <c r="L10">
        <v>0.13366263109895118</v>
      </c>
      <c r="M10">
        <v>0.11989895120839034</v>
      </c>
      <c r="N10">
        <v>0.10960528955768353</v>
      </c>
      <c r="O10">
        <v>0.10056297309621523</v>
      </c>
      <c r="P10">
        <v>9.2892932056543545E-2</v>
      </c>
      <c r="Q10">
        <v>8.6143479252165991E-2</v>
      </c>
      <c r="R10">
        <v>8.0911491108071137E-2</v>
      </c>
      <c r="S10">
        <v>7.6381212950296387E-2</v>
      </c>
      <c r="T10">
        <v>7.2366073871409031E-2</v>
      </c>
      <c r="U10">
        <v>6.8517989056087553E-2</v>
      </c>
    </row>
  </sheetData>
  <phoneticPr fontId="0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5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8584.5640000000003</v>
      </c>
      <c r="D2">
        <v>1517.9570000000001</v>
      </c>
      <c r="E2">
        <v>18.274100000000001</v>
      </c>
      <c r="F2">
        <v>1.2038614E-2</v>
      </c>
      <c r="G2">
        <v>7066.8419999999996</v>
      </c>
      <c r="H2">
        <v>-52.929450000000003</v>
      </c>
      <c r="I2">
        <v>-7.4898311999999998E-3</v>
      </c>
      <c r="J2">
        <v>-34.655349999999999</v>
      </c>
      <c r="K2">
        <v>-4.0369374000000001E-3</v>
      </c>
      <c r="L2">
        <v>6937.0249999999996</v>
      </c>
      <c r="M2">
        <v>2.2634806E-2</v>
      </c>
      <c r="N2">
        <v>5.8336387999999998E-3</v>
      </c>
      <c r="O2">
        <v>1647.6959999999999</v>
      </c>
      <c r="P2">
        <v>-1.2414543E-2</v>
      </c>
      <c r="Q2">
        <v>-3.2598227000000001E-3</v>
      </c>
      <c r="R2">
        <v>-20.455390000000001</v>
      </c>
      <c r="S2">
        <v>157.01820000000001</v>
      </c>
    </row>
    <row r="3" spans="1:19">
      <c r="A3" t="s">
        <v>1</v>
      </c>
      <c r="B3">
        <v>4368</v>
      </c>
      <c r="C3">
        <v>8619.8349999999991</v>
      </c>
      <c r="D3">
        <v>1523.163</v>
      </c>
      <c r="E3">
        <v>18.243500000000001</v>
      </c>
      <c r="F3">
        <v>1.1977377000000001E-2</v>
      </c>
      <c r="G3">
        <v>7096.92</v>
      </c>
      <c r="H3">
        <v>-53.038350000000001</v>
      </c>
      <c r="I3">
        <v>-7.4734310999999996E-3</v>
      </c>
      <c r="J3">
        <v>-34.794849999999997</v>
      </c>
      <c r="K3">
        <v>-4.0366025999999996E-3</v>
      </c>
      <c r="L3">
        <v>6954.3739999999998</v>
      </c>
      <c r="M3">
        <v>2.2547718000000001E-2</v>
      </c>
      <c r="N3">
        <v>5.8127687999999997E-3</v>
      </c>
      <c r="O3">
        <v>1665.616</v>
      </c>
      <c r="P3">
        <v>-1.2463695E-2</v>
      </c>
      <c r="Q3">
        <v>-3.2723416E-3</v>
      </c>
      <c r="R3">
        <v>-20.759740000000001</v>
      </c>
      <c r="S3">
        <v>156.80529999999999</v>
      </c>
    </row>
    <row r="4" spans="1:19">
      <c r="A4" t="s">
        <v>2</v>
      </c>
      <c r="B4">
        <v>4368</v>
      </c>
      <c r="C4">
        <v>8416.6460000000006</v>
      </c>
      <c r="D4">
        <v>1421.826</v>
      </c>
      <c r="E4">
        <v>16.53237</v>
      </c>
      <c r="F4">
        <v>1.1627561E-2</v>
      </c>
      <c r="G4">
        <v>6994.9849999999997</v>
      </c>
      <c r="H4">
        <v>-52.981650000000002</v>
      </c>
      <c r="I4">
        <v>-7.5742331999999997E-3</v>
      </c>
      <c r="J4">
        <v>-36.449280000000002</v>
      </c>
      <c r="K4">
        <v>-4.3306187999999999E-3</v>
      </c>
      <c r="L4">
        <v>6831.4449999999997</v>
      </c>
      <c r="M4">
        <v>2.2373655999999999E-2</v>
      </c>
      <c r="N4">
        <v>5.7683665999999998E-3</v>
      </c>
      <c r="O4">
        <v>1585.2429999999999</v>
      </c>
      <c r="P4">
        <v>-1.2405388E-2</v>
      </c>
      <c r="Q4">
        <v>-3.2585838000000001E-3</v>
      </c>
      <c r="R4">
        <v>-19.66555</v>
      </c>
      <c r="S4">
        <v>152.84440000000001</v>
      </c>
    </row>
    <row r="5" spans="1:19">
      <c r="A5" t="s">
        <v>3</v>
      </c>
      <c r="B5">
        <v>4376</v>
      </c>
      <c r="C5">
        <v>8594.7849999999999</v>
      </c>
      <c r="D5">
        <v>1514.028</v>
      </c>
      <c r="E5">
        <v>18.204149999999998</v>
      </c>
      <c r="F5">
        <v>1.202366E-2</v>
      </c>
      <c r="G5">
        <v>7081.0159999999996</v>
      </c>
      <c r="H5">
        <v>-53.267870000000002</v>
      </c>
      <c r="I5">
        <v>-7.5226310000000001E-3</v>
      </c>
      <c r="J5">
        <v>-35.063720000000004</v>
      </c>
      <c r="K5">
        <v>-4.0796501999999998E-3</v>
      </c>
      <c r="L5">
        <v>6961.9430000000002</v>
      </c>
      <c r="M5">
        <v>2.2709093999999999E-2</v>
      </c>
      <c r="N5">
        <v>5.8540162000000001E-3</v>
      </c>
      <c r="O5">
        <v>1632.999</v>
      </c>
      <c r="P5">
        <v>-1.2451220000000001E-2</v>
      </c>
      <c r="Q5">
        <v>-3.2684181E-3</v>
      </c>
      <c r="R5">
        <v>-20.332830000000001</v>
      </c>
      <c r="S5">
        <v>158.0994</v>
      </c>
    </row>
    <row r="6" spans="1:19">
      <c r="A6" t="s">
        <v>4</v>
      </c>
      <c r="B6">
        <v>4382</v>
      </c>
      <c r="C6">
        <v>8416.3770000000004</v>
      </c>
      <c r="D6">
        <v>1430.9670000000001</v>
      </c>
      <c r="E6">
        <v>16.936969999999999</v>
      </c>
      <c r="F6">
        <v>1.1836032999999999E-2</v>
      </c>
      <c r="G6">
        <v>6985.5770000000002</v>
      </c>
      <c r="H6">
        <v>-52.526000000000003</v>
      </c>
      <c r="I6">
        <v>-7.5192074000000001E-3</v>
      </c>
      <c r="J6">
        <v>-35.589030000000001</v>
      </c>
      <c r="K6">
        <v>-4.2285454000000004E-3</v>
      </c>
      <c r="L6">
        <v>6790.4179999999997</v>
      </c>
      <c r="M6">
        <v>2.2516325E-2</v>
      </c>
      <c r="N6">
        <v>5.8062226E-3</v>
      </c>
      <c r="O6">
        <v>1626.01</v>
      </c>
      <c r="P6">
        <v>-1.2319553E-2</v>
      </c>
      <c r="Q6">
        <v>-3.2356179E-3</v>
      </c>
      <c r="R6">
        <v>-20.03171</v>
      </c>
      <c r="S6">
        <v>152.89529999999999</v>
      </c>
    </row>
    <row r="7" spans="1:19">
      <c r="A7" t="s">
        <v>42</v>
      </c>
      <c r="B7">
        <v>4382</v>
      </c>
      <c r="C7">
        <v>8582.6049999999996</v>
      </c>
      <c r="D7">
        <v>1517.694</v>
      </c>
      <c r="E7">
        <v>18.145849999999999</v>
      </c>
      <c r="F7">
        <v>1.1956191999999999E-2</v>
      </c>
      <c r="G7">
        <v>7065.1419999999998</v>
      </c>
      <c r="H7">
        <v>-53.187869999999997</v>
      </c>
      <c r="I7">
        <v>-7.5282101000000001E-3</v>
      </c>
      <c r="J7">
        <v>-35.042020000000001</v>
      </c>
      <c r="K7">
        <v>-4.0829120999999998E-3</v>
      </c>
      <c r="L7">
        <v>6900.5820000000003</v>
      </c>
      <c r="M7">
        <v>2.2667682000000001E-2</v>
      </c>
      <c r="N7">
        <v>5.8450797000000002E-3</v>
      </c>
      <c r="O7">
        <v>1682.1559999999999</v>
      </c>
      <c r="P7">
        <v>-1.2304641E-2</v>
      </c>
      <c r="Q7">
        <v>-3.2280617999999998E-3</v>
      </c>
      <c r="R7">
        <v>-20.698329999999999</v>
      </c>
      <c r="S7">
        <v>156.42019999999999</v>
      </c>
    </row>
    <row r="8" spans="1:19">
      <c r="A8" t="s">
        <v>5</v>
      </c>
      <c r="B8">
        <v>4386</v>
      </c>
      <c r="C8">
        <v>8382.0550000000003</v>
      </c>
      <c r="D8">
        <v>1452.961</v>
      </c>
      <c r="E8">
        <v>17.076029999999999</v>
      </c>
      <c r="F8">
        <v>1.1752574E-2</v>
      </c>
      <c r="G8">
        <v>6929.25</v>
      </c>
      <c r="H8">
        <v>-52.859670000000001</v>
      </c>
      <c r="I8">
        <v>-7.6284841999999997E-3</v>
      </c>
      <c r="J8">
        <v>-35.783639999999998</v>
      </c>
      <c r="K8">
        <v>-4.2690773999999997E-3</v>
      </c>
      <c r="L8">
        <v>6712.2730000000001</v>
      </c>
      <c r="M8">
        <v>2.2497451000000002E-2</v>
      </c>
      <c r="N8">
        <v>5.8004544000000002E-3</v>
      </c>
      <c r="O8">
        <v>1669.8209999999999</v>
      </c>
      <c r="P8">
        <v>-1.2679215000000001E-2</v>
      </c>
      <c r="Q8">
        <v>-3.3310293000000002E-3</v>
      </c>
      <c r="R8">
        <v>-21.17202</v>
      </c>
      <c r="S8">
        <v>151.00899999999999</v>
      </c>
    </row>
    <row r="9" spans="1:19">
      <c r="A9" t="s">
        <v>6</v>
      </c>
      <c r="B9">
        <v>4386</v>
      </c>
      <c r="C9">
        <v>8422.7890000000007</v>
      </c>
      <c r="D9">
        <v>1452.617</v>
      </c>
      <c r="E9">
        <v>17.034870000000002</v>
      </c>
      <c r="F9">
        <v>1.1727025E-2</v>
      </c>
      <c r="G9">
        <v>6970.317</v>
      </c>
      <c r="H9">
        <v>-52.366070000000001</v>
      </c>
      <c r="I9">
        <v>-7.5127231000000003E-3</v>
      </c>
      <c r="J9">
        <v>-35.331200000000003</v>
      </c>
      <c r="K9">
        <v>-4.1947145999999998E-3</v>
      </c>
      <c r="L9">
        <v>6794.625</v>
      </c>
      <c r="M9">
        <v>2.2522871999999999E-2</v>
      </c>
      <c r="N9">
        <v>5.8068787000000004E-3</v>
      </c>
      <c r="O9">
        <v>1628.1990000000001</v>
      </c>
      <c r="P9">
        <v>-1.2713403E-2</v>
      </c>
      <c r="Q9">
        <v>-3.3381639999999998E-3</v>
      </c>
      <c r="R9">
        <v>-20.699950000000001</v>
      </c>
      <c r="S9">
        <v>153.03450000000001</v>
      </c>
    </row>
  </sheetData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76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5564.6679999999997</v>
      </c>
      <c r="D2">
        <v>1062.913</v>
      </c>
      <c r="E2">
        <v>14.29973</v>
      </c>
      <c r="F2">
        <v>1.3453336E-2</v>
      </c>
      <c r="G2">
        <v>4501.9520000000002</v>
      </c>
      <c r="H2">
        <v>-33.884390000000003</v>
      </c>
      <c r="I2">
        <v>-7.5265998000000004E-3</v>
      </c>
      <c r="J2">
        <v>-19.58466</v>
      </c>
      <c r="K2">
        <v>-3.5194661000000002E-3</v>
      </c>
      <c r="L2">
        <v>4748.7110000000002</v>
      </c>
      <c r="M2">
        <v>2.2926541000000002E-2</v>
      </c>
      <c r="N2">
        <v>5.7873437000000002E-3</v>
      </c>
      <c r="O2">
        <v>816.0865</v>
      </c>
      <c r="P2">
        <v>-1.2383896E-2</v>
      </c>
      <c r="Q2">
        <v>-3.1840992000000002E-3</v>
      </c>
      <c r="R2">
        <v>-10.10633</v>
      </c>
      <c r="S2">
        <v>108.8715</v>
      </c>
    </row>
    <row r="3" spans="1:19">
      <c r="A3" t="s">
        <v>1</v>
      </c>
      <c r="B3">
        <v>4368</v>
      </c>
      <c r="C3">
        <v>5576.5959999999995</v>
      </c>
      <c r="D3">
        <v>1057.0719999999999</v>
      </c>
      <c r="E3">
        <v>14.261710000000001</v>
      </c>
      <c r="F3">
        <v>1.3491705999999999E-2</v>
      </c>
      <c r="G3">
        <v>4519.7370000000001</v>
      </c>
      <c r="H3">
        <v>-34.093679999999999</v>
      </c>
      <c r="I3">
        <v>-7.5432881999999996E-3</v>
      </c>
      <c r="J3">
        <v>-19.831980000000001</v>
      </c>
      <c r="K3">
        <v>-3.5562871E-3</v>
      </c>
      <c r="L3">
        <v>4749.9629999999997</v>
      </c>
      <c r="M3">
        <v>2.2807473000000002E-2</v>
      </c>
      <c r="N3">
        <v>5.7578873999999999E-3</v>
      </c>
      <c r="O3">
        <v>826.76080000000002</v>
      </c>
      <c r="P3">
        <v>-1.2438205000000001E-2</v>
      </c>
      <c r="Q3">
        <v>-3.1985757000000002E-3</v>
      </c>
      <c r="R3">
        <v>-10.28342</v>
      </c>
      <c r="S3">
        <v>108.33459999999999</v>
      </c>
    </row>
    <row r="4" spans="1:19">
      <c r="A4" t="s">
        <v>2</v>
      </c>
      <c r="B4">
        <v>4368</v>
      </c>
      <c r="C4">
        <v>5464.5439999999999</v>
      </c>
      <c r="D4">
        <v>985.77200000000005</v>
      </c>
      <c r="E4">
        <v>12.655799999999999</v>
      </c>
      <c r="F4">
        <v>1.2838466E-2</v>
      </c>
      <c r="G4">
        <v>4479.0140000000001</v>
      </c>
      <c r="H4">
        <v>-34.276330000000002</v>
      </c>
      <c r="I4">
        <v>-7.6526520000000002E-3</v>
      </c>
      <c r="J4">
        <v>-21.620529999999999</v>
      </c>
      <c r="K4">
        <v>-3.9565116000000004E-3</v>
      </c>
      <c r="L4">
        <v>4688.7370000000001</v>
      </c>
      <c r="M4">
        <v>2.2703869000000002E-2</v>
      </c>
      <c r="N4">
        <v>5.7303375E-3</v>
      </c>
      <c r="O4">
        <v>775.98130000000003</v>
      </c>
      <c r="P4">
        <v>-1.2356499999999999E-2</v>
      </c>
      <c r="Q4">
        <v>-3.1791821E-3</v>
      </c>
      <c r="R4">
        <v>-9.5884129999999992</v>
      </c>
      <c r="S4">
        <v>106.4525</v>
      </c>
    </row>
    <row r="5" spans="1:19">
      <c r="A5" t="s">
        <v>3</v>
      </c>
      <c r="B5">
        <v>4376</v>
      </c>
      <c r="C5">
        <v>5589.5720000000001</v>
      </c>
      <c r="D5">
        <v>1062.6510000000001</v>
      </c>
      <c r="E5">
        <v>14.33039</v>
      </c>
      <c r="F5">
        <v>1.3485504000000001E-2</v>
      </c>
      <c r="G5">
        <v>4527.1319999999996</v>
      </c>
      <c r="H5">
        <v>-34.440770000000001</v>
      </c>
      <c r="I5">
        <v>-7.6076336999999997E-3</v>
      </c>
      <c r="J5">
        <v>-20.11037</v>
      </c>
      <c r="K5">
        <v>-3.5978378999999999E-3</v>
      </c>
      <c r="L5">
        <v>4776.9179999999997</v>
      </c>
      <c r="M5">
        <v>2.3028984999999998E-2</v>
      </c>
      <c r="N5">
        <v>5.8137396999999999E-3</v>
      </c>
      <c r="O5">
        <v>812.79359999999997</v>
      </c>
      <c r="P5">
        <v>-1.2434855999999999E-2</v>
      </c>
      <c r="Q5">
        <v>-3.1973966000000001E-3</v>
      </c>
      <c r="R5">
        <v>-10.10697</v>
      </c>
      <c r="S5">
        <v>110.0076</v>
      </c>
    </row>
    <row r="6" spans="1:19">
      <c r="A6" t="s">
        <v>4</v>
      </c>
      <c r="B6">
        <v>4382</v>
      </c>
      <c r="C6">
        <v>5488.326</v>
      </c>
      <c r="D6">
        <v>996.07249999999999</v>
      </c>
      <c r="E6">
        <v>12.883279999999999</v>
      </c>
      <c r="F6">
        <v>1.2934077E-2</v>
      </c>
      <c r="G6">
        <v>4492.4750000000004</v>
      </c>
      <c r="H6">
        <v>-33.96904</v>
      </c>
      <c r="I6">
        <v>-7.5613186000000002E-3</v>
      </c>
      <c r="J6">
        <v>-21.085760000000001</v>
      </c>
      <c r="K6">
        <v>-3.8419291E-3</v>
      </c>
      <c r="L6">
        <v>4676.9660000000003</v>
      </c>
      <c r="M6">
        <v>2.2787094000000001E-2</v>
      </c>
      <c r="N6">
        <v>5.7530076999999999E-3</v>
      </c>
      <c r="O6">
        <v>811.52679999999998</v>
      </c>
      <c r="P6">
        <v>-1.2243436999999999E-2</v>
      </c>
      <c r="Q6">
        <v>-3.1492476999999998E-3</v>
      </c>
      <c r="R6">
        <v>-9.9358769999999996</v>
      </c>
      <c r="S6">
        <v>106.5745</v>
      </c>
    </row>
    <row r="7" spans="1:19">
      <c r="A7" t="s">
        <v>42</v>
      </c>
      <c r="B7">
        <v>4382</v>
      </c>
      <c r="C7">
        <v>5580.8360000000002</v>
      </c>
      <c r="D7">
        <v>1055.212</v>
      </c>
      <c r="E7">
        <v>14.162229999999999</v>
      </c>
      <c r="F7">
        <v>1.3421219999999999E-2</v>
      </c>
      <c r="G7">
        <v>4525.8090000000002</v>
      </c>
      <c r="H7">
        <v>-34.399039999999999</v>
      </c>
      <c r="I7">
        <v>-7.6006390000000002E-3</v>
      </c>
      <c r="J7">
        <v>-20.236799999999999</v>
      </c>
      <c r="K7">
        <v>-3.6261238E-3</v>
      </c>
      <c r="L7">
        <v>4729.4129999999996</v>
      </c>
      <c r="M7">
        <v>2.2967517E-2</v>
      </c>
      <c r="N7">
        <v>5.8000255000000001E-3</v>
      </c>
      <c r="O7">
        <v>851.55200000000002</v>
      </c>
      <c r="P7">
        <v>-1.2270424E-2</v>
      </c>
      <c r="Q7">
        <v>-3.1548624000000002E-3</v>
      </c>
      <c r="R7">
        <v>-10.4489</v>
      </c>
      <c r="S7">
        <v>108.6229</v>
      </c>
    </row>
    <row r="8" spans="1:19">
      <c r="A8" t="s">
        <v>5</v>
      </c>
      <c r="B8">
        <v>4386</v>
      </c>
      <c r="C8">
        <v>5450.8220000000001</v>
      </c>
      <c r="D8">
        <v>1004.538</v>
      </c>
      <c r="E8">
        <v>13.02605</v>
      </c>
      <c r="F8">
        <v>1.2967204E-2</v>
      </c>
      <c r="G8">
        <v>4446.5230000000001</v>
      </c>
      <c r="H8">
        <v>-34.435009999999998</v>
      </c>
      <c r="I8">
        <v>-7.7442555E-3</v>
      </c>
      <c r="J8">
        <v>-21.40897</v>
      </c>
      <c r="K8">
        <v>-3.9276583000000002E-3</v>
      </c>
      <c r="L8">
        <v>4622.6059999999998</v>
      </c>
      <c r="M8">
        <v>2.2802540999999999E-2</v>
      </c>
      <c r="N8">
        <v>5.7546087000000003E-3</v>
      </c>
      <c r="O8">
        <v>828.41300000000001</v>
      </c>
      <c r="P8">
        <v>-1.2692939E-2</v>
      </c>
      <c r="Q8">
        <v>-3.2665413000000001E-3</v>
      </c>
      <c r="R8">
        <v>-10.515000000000001</v>
      </c>
      <c r="S8">
        <v>105.4072</v>
      </c>
    </row>
    <row r="9" spans="1:19">
      <c r="A9" t="s">
        <v>6</v>
      </c>
      <c r="B9">
        <v>4386</v>
      </c>
      <c r="C9">
        <v>5482.0950000000003</v>
      </c>
      <c r="D9">
        <v>1013.624</v>
      </c>
      <c r="E9">
        <v>13.17498</v>
      </c>
      <c r="F9">
        <v>1.2997892E-2</v>
      </c>
      <c r="G9">
        <v>4468.7129999999997</v>
      </c>
      <c r="H9">
        <v>-33.635939999999998</v>
      </c>
      <c r="I9">
        <v>-7.5269871999999998E-3</v>
      </c>
      <c r="J9">
        <v>-20.46096</v>
      </c>
      <c r="K9">
        <v>-3.7323257000000001E-3</v>
      </c>
      <c r="L9">
        <v>4660.9790000000003</v>
      </c>
      <c r="M9">
        <v>2.2823479000000001E-2</v>
      </c>
      <c r="N9">
        <v>5.7602208000000002E-3</v>
      </c>
      <c r="O9">
        <v>821.31700000000001</v>
      </c>
      <c r="P9">
        <v>-1.2755673E-2</v>
      </c>
      <c r="Q9">
        <v>-3.2790142999999999E-3</v>
      </c>
      <c r="R9">
        <v>-10.47645</v>
      </c>
      <c r="S9">
        <v>106.3798</v>
      </c>
    </row>
  </sheetData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77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3237.1089999999999</v>
      </c>
      <c r="D2">
        <v>686.97940000000006</v>
      </c>
      <c r="E2">
        <v>10.0176</v>
      </c>
      <c r="F2">
        <v>1.4582103000000001E-2</v>
      </c>
      <c r="G2">
        <v>2550.154</v>
      </c>
      <c r="H2">
        <v>-20.151859999999999</v>
      </c>
      <c r="I2">
        <v>-7.9022143E-3</v>
      </c>
      <c r="J2">
        <v>-10.134259999999999</v>
      </c>
      <c r="K2">
        <v>-3.1306507999999999E-3</v>
      </c>
      <c r="L2">
        <v>2935.6489999999999</v>
      </c>
      <c r="M2">
        <v>2.2418324E-2</v>
      </c>
      <c r="N2">
        <v>5.5276611999999998E-3</v>
      </c>
      <c r="O2">
        <v>301.47770000000003</v>
      </c>
      <c r="P2">
        <v>-1.1483067E-2</v>
      </c>
      <c r="Q2">
        <v>-2.8994041E-3</v>
      </c>
      <c r="R2">
        <v>-3.4618890000000002</v>
      </c>
      <c r="S2">
        <v>65.812330000000003</v>
      </c>
    </row>
    <row r="3" spans="1:19">
      <c r="A3" t="s">
        <v>1</v>
      </c>
      <c r="B3">
        <v>4368</v>
      </c>
      <c r="C3">
        <v>3255.5369999999998</v>
      </c>
      <c r="D3">
        <v>686.65970000000004</v>
      </c>
      <c r="E3">
        <v>10.010809999999999</v>
      </c>
      <c r="F3">
        <v>1.4578997999999999E-2</v>
      </c>
      <c r="G3">
        <v>2568.8939999999998</v>
      </c>
      <c r="H3">
        <v>-20.323899999999998</v>
      </c>
      <c r="I3">
        <v>-7.9115359000000007E-3</v>
      </c>
      <c r="J3">
        <v>-10.313090000000001</v>
      </c>
      <c r="K3">
        <v>-3.1678601999999998E-3</v>
      </c>
      <c r="L3">
        <v>2945.703</v>
      </c>
      <c r="M3">
        <v>2.2338189000000001E-2</v>
      </c>
      <c r="N3">
        <v>5.5091827999999999E-3</v>
      </c>
      <c r="O3">
        <v>309.84550000000002</v>
      </c>
      <c r="P3">
        <v>-1.1518230000000001E-2</v>
      </c>
      <c r="Q3">
        <v>-2.9062469999999998E-3</v>
      </c>
      <c r="R3">
        <v>-3.5688710000000001</v>
      </c>
      <c r="S3">
        <v>65.801680000000005</v>
      </c>
    </row>
    <row r="4" spans="1:19">
      <c r="A4" t="s">
        <v>2</v>
      </c>
      <c r="B4">
        <v>4368</v>
      </c>
      <c r="C4">
        <v>3236.7359999999999</v>
      </c>
      <c r="D4">
        <v>653.27719999999999</v>
      </c>
      <c r="E4">
        <v>8.7920010000000008</v>
      </c>
      <c r="F4">
        <v>1.3458301000000001E-2</v>
      </c>
      <c r="G4">
        <v>2583.4699999999998</v>
      </c>
      <c r="H4">
        <v>-20.434249999999999</v>
      </c>
      <c r="I4">
        <v>-7.9096145999999999E-3</v>
      </c>
      <c r="J4">
        <v>-11.642250000000001</v>
      </c>
      <c r="K4">
        <v>-3.5969106999999998E-3</v>
      </c>
      <c r="L4">
        <v>2937.6779999999999</v>
      </c>
      <c r="M4">
        <v>2.2272126999999999E-2</v>
      </c>
      <c r="N4">
        <v>5.4903369999999996E-3</v>
      </c>
      <c r="O4">
        <v>299.07010000000002</v>
      </c>
      <c r="P4">
        <v>-1.128403E-2</v>
      </c>
      <c r="Q4">
        <v>-2.8478616999999999E-3</v>
      </c>
      <c r="R4">
        <v>-3.3747159999999998</v>
      </c>
      <c r="S4">
        <v>65.428340000000006</v>
      </c>
    </row>
    <row r="5" spans="1:19">
      <c r="A5" t="s">
        <v>3</v>
      </c>
      <c r="B5">
        <v>4376</v>
      </c>
      <c r="C5">
        <v>3250.8789999999999</v>
      </c>
      <c r="D5">
        <v>690.59339999999997</v>
      </c>
      <c r="E5">
        <v>9.9924909999999993</v>
      </c>
      <c r="F5">
        <v>1.4469426000000001E-2</v>
      </c>
      <c r="G5">
        <v>2560.3020000000001</v>
      </c>
      <c r="H5">
        <v>-20.465039999999998</v>
      </c>
      <c r="I5">
        <v>-7.9932128999999994E-3</v>
      </c>
      <c r="J5">
        <v>-10.47255</v>
      </c>
      <c r="K5">
        <v>-3.2214518E-3</v>
      </c>
      <c r="L5">
        <v>2949.8449999999998</v>
      </c>
      <c r="M5">
        <v>2.2571569E-2</v>
      </c>
      <c r="N5">
        <v>5.5657132E-3</v>
      </c>
      <c r="O5">
        <v>301.0428</v>
      </c>
      <c r="P5">
        <v>-1.150268E-2</v>
      </c>
      <c r="Q5">
        <v>-2.9025977000000001E-3</v>
      </c>
      <c r="R5">
        <v>-3.462799</v>
      </c>
      <c r="S5">
        <v>66.582629999999995</v>
      </c>
    </row>
    <row r="6" spans="1:19">
      <c r="A6" t="s">
        <v>4</v>
      </c>
      <c r="B6">
        <v>4382</v>
      </c>
      <c r="C6">
        <v>3208.3139999999999</v>
      </c>
      <c r="D6">
        <v>643.84469999999999</v>
      </c>
      <c r="E6">
        <v>8.8712619999999998</v>
      </c>
      <c r="F6">
        <v>1.3778575E-2</v>
      </c>
      <c r="G6">
        <v>2564.498</v>
      </c>
      <c r="H6">
        <v>-19.897500000000001</v>
      </c>
      <c r="I6">
        <v>-7.7588255999999998E-3</v>
      </c>
      <c r="J6">
        <v>-11.02623</v>
      </c>
      <c r="K6">
        <v>-3.4367689000000001E-3</v>
      </c>
      <c r="L6">
        <v>2896.15</v>
      </c>
      <c r="M6">
        <v>2.2325485999999999E-2</v>
      </c>
      <c r="N6">
        <v>5.5051483000000002E-3</v>
      </c>
      <c r="O6">
        <v>312.1875</v>
      </c>
      <c r="P6">
        <v>-1.1209833000000001E-2</v>
      </c>
      <c r="Q6">
        <v>-2.8290785999999998E-3</v>
      </c>
      <c r="R6">
        <v>-3.4995699999999998</v>
      </c>
      <c r="S6">
        <v>64.657970000000006</v>
      </c>
    </row>
    <row r="7" spans="1:19">
      <c r="A7" t="s">
        <v>42</v>
      </c>
      <c r="B7">
        <v>4382</v>
      </c>
      <c r="C7">
        <v>3256.0740000000001</v>
      </c>
      <c r="D7">
        <v>688.02170000000001</v>
      </c>
      <c r="E7">
        <v>9.9198590000000006</v>
      </c>
      <c r="F7">
        <v>1.4417944E-2</v>
      </c>
      <c r="G7">
        <v>2568.0610000000001</v>
      </c>
      <c r="H7">
        <v>-20.40485</v>
      </c>
      <c r="I7">
        <v>-7.9456250999999992E-3</v>
      </c>
      <c r="J7">
        <v>-10.48499</v>
      </c>
      <c r="K7">
        <v>-3.2201325999999999E-3</v>
      </c>
      <c r="L7">
        <v>2928.9920000000002</v>
      </c>
      <c r="M7">
        <v>2.2459215000000001E-2</v>
      </c>
      <c r="N7">
        <v>5.541476E-3</v>
      </c>
      <c r="O7">
        <v>327.09230000000002</v>
      </c>
      <c r="P7">
        <v>-1.1303463E-2</v>
      </c>
      <c r="Q7">
        <v>-2.8506368E-3</v>
      </c>
      <c r="R7">
        <v>-3.697276</v>
      </c>
      <c r="S7">
        <v>65.782859999999999</v>
      </c>
    </row>
    <row r="8" spans="1:19">
      <c r="A8" t="s">
        <v>5</v>
      </c>
      <c r="B8">
        <v>4386</v>
      </c>
      <c r="C8">
        <v>3180.7959999999998</v>
      </c>
      <c r="D8">
        <v>639.71119999999996</v>
      </c>
      <c r="E8">
        <v>8.6801150000000007</v>
      </c>
      <c r="F8">
        <v>1.3568801E-2</v>
      </c>
      <c r="G8">
        <v>2541.1129999999998</v>
      </c>
      <c r="H8">
        <v>-20.51707</v>
      </c>
      <c r="I8">
        <v>-8.0740507999999996E-3</v>
      </c>
      <c r="J8">
        <v>-11.836959999999999</v>
      </c>
      <c r="K8">
        <v>-3.7213820000000001E-3</v>
      </c>
      <c r="L8">
        <v>2863.8150000000001</v>
      </c>
      <c r="M8">
        <v>2.2307859999999999E-2</v>
      </c>
      <c r="N8">
        <v>5.4983716000000004E-3</v>
      </c>
      <c r="O8">
        <v>316.9991</v>
      </c>
      <c r="P8">
        <v>-1.1871886999999999E-2</v>
      </c>
      <c r="Q8">
        <v>-2.9963194E-3</v>
      </c>
      <c r="R8">
        <v>-3.7633770000000002</v>
      </c>
      <c r="S8">
        <v>63.885579999999997</v>
      </c>
    </row>
    <row r="9" spans="1:19">
      <c r="A9" t="s">
        <v>6</v>
      </c>
      <c r="B9">
        <v>4386</v>
      </c>
      <c r="C9">
        <v>3218.3939999999998</v>
      </c>
      <c r="D9">
        <v>664.3297</v>
      </c>
      <c r="E9">
        <v>9.2099899999999995</v>
      </c>
      <c r="F9">
        <v>1.3863581999999999E-2</v>
      </c>
      <c r="G9">
        <v>2554.0949999999998</v>
      </c>
      <c r="H9">
        <v>-19.802520000000001</v>
      </c>
      <c r="I9">
        <v>-7.7532427000000003E-3</v>
      </c>
      <c r="J9">
        <v>-10.59253</v>
      </c>
      <c r="K9">
        <v>-3.2912473999999999E-3</v>
      </c>
      <c r="L9">
        <v>2903.154</v>
      </c>
      <c r="M9">
        <v>2.2382017000000001E-2</v>
      </c>
      <c r="N9">
        <v>5.518808E-3</v>
      </c>
      <c r="O9">
        <v>315.25740000000002</v>
      </c>
      <c r="P9">
        <v>-1.1921126000000001E-2</v>
      </c>
      <c r="Q9">
        <v>-3.0089854000000002E-3</v>
      </c>
      <c r="R9">
        <v>-3.7582230000000001</v>
      </c>
      <c r="S9">
        <v>64.978449999999995</v>
      </c>
    </row>
  </sheetData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78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2155.6309999999999</v>
      </c>
      <c r="D2">
        <v>482.68779999999998</v>
      </c>
      <c r="E2">
        <v>7.2162369999999996</v>
      </c>
      <c r="F2">
        <v>1.4950112E-2</v>
      </c>
      <c r="G2">
        <v>1672.9369999999999</v>
      </c>
      <c r="H2">
        <v>-13.496969999999999</v>
      </c>
      <c r="I2">
        <v>-8.0678257999999992E-3</v>
      </c>
      <c r="J2">
        <v>-6.2807310000000003</v>
      </c>
      <c r="K2">
        <v>-2.9136392000000001E-3</v>
      </c>
      <c r="L2">
        <v>1999.634</v>
      </c>
      <c r="M2">
        <v>2.1817131E-2</v>
      </c>
      <c r="N2">
        <v>5.4214327000000001E-3</v>
      </c>
      <c r="O2">
        <v>155.99690000000001</v>
      </c>
      <c r="P2">
        <v>-1.0812323E-2</v>
      </c>
      <c r="Q2">
        <v>-2.6943916000000002E-3</v>
      </c>
      <c r="R2">
        <v>-1.6866890000000001</v>
      </c>
      <c r="S2">
        <v>43.626269999999998</v>
      </c>
    </row>
    <row r="3" spans="1:19">
      <c r="A3" t="s">
        <v>1</v>
      </c>
      <c r="B3">
        <v>4368</v>
      </c>
      <c r="C3">
        <v>2155.1320000000001</v>
      </c>
      <c r="D3">
        <v>481.87099999999998</v>
      </c>
      <c r="E3">
        <v>7.1754819999999997</v>
      </c>
      <c r="F3">
        <v>1.4890877E-2</v>
      </c>
      <c r="G3">
        <v>1673.2539999999999</v>
      </c>
      <c r="H3">
        <v>-13.5402</v>
      </c>
      <c r="I3">
        <v>-8.0921371000000006E-3</v>
      </c>
      <c r="J3">
        <v>-6.3647200000000002</v>
      </c>
      <c r="K3">
        <v>-2.9532848999999999E-3</v>
      </c>
      <c r="L3">
        <v>1997.6579999999999</v>
      </c>
      <c r="M3">
        <v>2.175767E-2</v>
      </c>
      <c r="N3">
        <v>5.4066903000000001E-3</v>
      </c>
      <c r="O3">
        <v>157.4769</v>
      </c>
      <c r="P3">
        <v>-1.071751E-2</v>
      </c>
      <c r="Q3">
        <v>-2.6705072E-3</v>
      </c>
      <c r="R3">
        <v>-1.6877610000000001</v>
      </c>
      <c r="S3">
        <v>43.464379999999998</v>
      </c>
    </row>
    <row r="4" spans="1:19">
      <c r="A4" t="s">
        <v>2</v>
      </c>
      <c r="B4">
        <v>4368</v>
      </c>
      <c r="C4">
        <v>2163.86</v>
      </c>
      <c r="D4">
        <v>464.15710000000001</v>
      </c>
      <c r="E4">
        <v>6.2241869999999997</v>
      </c>
      <c r="F4">
        <v>1.3409657E-2</v>
      </c>
      <c r="G4">
        <v>1699.701</v>
      </c>
      <c r="H4">
        <v>-13.72498</v>
      </c>
      <c r="I4">
        <v>-8.0749354999999998E-3</v>
      </c>
      <c r="J4">
        <v>-7.5007900000000003</v>
      </c>
      <c r="K4">
        <v>-3.4663928999999999E-3</v>
      </c>
      <c r="L4">
        <v>2004.278</v>
      </c>
      <c r="M4">
        <v>2.1663563E-2</v>
      </c>
      <c r="N4">
        <v>5.3904163999999996E-3</v>
      </c>
      <c r="O4">
        <v>159.58199999999999</v>
      </c>
      <c r="P4">
        <v>-1.0480114E-2</v>
      </c>
      <c r="Q4">
        <v>-2.6131836E-3</v>
      </c>
      <c r="R4">
        <v>-1.672437</v>
      </c>
      <c r="S4">
        <v>43.419800000000002</v>
      </c>
    </row>
    <row r="5" spans="1:19">
      <c r="A5" t="s">
        <v>3</v>
      </c>
      <c r="B5">
        <v>4376</v>
      </c>
      <c r="C5">
        <v>2155.2849999999999</v>
      </c>
      <c r="D5">
        <v>482.99889999999999</v>
      </c>
      <c r="E5">
        <v>7.1220509999999999</v>
      </c>
      <c r="F5">
        <v>1.474548E-2</v>
      </c>
      <c r="G5">
        <v>1672.2819999999999</v>
      </c>
      <c r="H5">
        <v>-13.612299999999999</v>
      </c>
      <c r="I5">
        <v>-8.1399577000000004E-3</v>
      </c>
      <c r="J5">
        <v>-6.4902540000000002</v>
      </c>
      <c r="K5">
        <v>-3.0113200000000001E-3</v>
      </c>
      <c r="L5">
        <v>2001.61</v>
      </c>
      <c r="M5">
        <v>2.1959389999999999E-2</v>
      </c>
      <c r="N5">
        <v>5.4581085999999999E-3</v>
      </c>
      <c r="O5">
        <v>153.67590000000001</v>
      </c>
      <c r="P5">
        <v>-1.0891349E-2</v>
      </c>
      <c r="Q5">
        <v>-2.7127033E-3</v>
      </c>
      <c r="R5">
        <v>-1.6737379999999999</v>
      </c>
      <c r="S5">
        <v>43.954149999999998</v>
      </c>
    </row>
    <row r="6" spans="1:19">
      <c r="A6" t="s">
        <v>4</v>
      </c>
      <c r="B6">
        <v>4382</v>
      </c>
      <c r="C6">
        <v>2177.8809999999999</v>
      </c>
      <c r="D6">
        <v>451.51209999999998</v>
      </c>
      <c r="E6">
        <v>6.3744959999999997</v>
      </c>
      <c r="F6">
        <v>1.4118105000000001E-2</v>
      </c>
      <c r="G6">
        <v>1726.366</v>
      </c>
      <c r="H6">
        <v>-13.40218</v>
      </c>
      <c r="I6">
        <v>-7.7632329999999996E-3</v>
      </c>
      <c r="J6">
        <v>-7.0276839999999998</v>
      </c>
      <c r="K6">
        <v>-3.2268450999999999E-3</v>
      </c>
      <c r="L6">
        <v>2003.46</v>
      </c>
      <c r="M6">
        <v>2.1779166999999999E-2</v>
      </c>
      <c r="N6">
        <v>5.4216808999999998E-3</v>
      </c>
      <c r="O6">
        <v>174.4228</v>
      </c>
      <c r="P6">
        <v>-1.025379E-2</v>
      </c>
      <c r="Q6">
        <v>-2.5586479000000001E-3</v>
      </c>
      <c r="R6">
        <v>-1.7884949999999999</v>
      </c>
      <c r="S6">
        <v>43.633690000000001</v>
      </c>
    </row>
    <row r="7" spans="1:19">
      <c r="A7" t="s">
        <v>42</v>
      </c>
      <c r="B7">
        <v>4382</v>
      </c>
      <c r="C7">
        <v>2153.2759999999998</v>
      </c>
      <c r="D7">
        <v>480.8526</v>
      </c>
      <c r="E7">
        <v>7.1504799999999999</v>
      </c>
      <c r="F7">
        <v>1.4870418999999999E-2</v>
      </c>
      <c r="G7">
        <v>1672.415</v>
      </c>
      <c r="H7">
        <v>-13.55354</v>
      </c>
      <c r="I7">
        <v>-8.1041688000000004E-3</v>
      </c>
      <c r="J7">
        <v>-6.4030570000000004</v>
      </c>
      <c r="K7">
        <v>-2.9736342999999998E-3</v>
      </c>
      <c r="L7">
        <v>1983.819</v>
      </c>
      <c r="M7">
        <v>2.2017104999999999E-2</v>
      </c>
      <c r="N7">
        <v>5.4686316E-3</v>
      </c>
      <c r="O7">
        <v>169.45400000000001</v>
      </c>
      <c r="P7">
        <v>-1.0487569E-2</v>
      </c>
      <c r="Q7">
        <v>-2.6096341E-3</v>
      </c>
      <c r="R7">
        <v>-1.777161</v>
      </c>
      <c r="S7">
        <v>43.677959999999999</v>
      </c>
    </row>
    <row r="8" spans="1:19">
      <c r="A8" t="s">
        <v>5</v>
      </c>
      <c r="B8">
        <v>4386</v>
      </c>
      <c r="C8">
        <v>2149.9839999999999</v>
      </c>
      <c r="D8">
        <v>445.22820000000002</v>
      </c>
      <c r="E8">
        <v>6.0663629999999999</v>
      </c>
      <c r="F8">
        <v>1.362529E-2</v>
      </c>
      <c r="G8">
        <v>1704.76</v>
      </c>
      <c r="H8">
        <v>-13.981529999999999</v>
      </c>
      <c r="I8">
        <v>-8.2014640999999999E-3</v>
      </c>
      <c r="J8">
        <v>-7.9151629999999997</v>
      </c>
      <c r="K8">
        <v>-3.6814993000000001E-3</v>
      </c>
      <c r="L8">
        <v>1974.549</v>
      </c>
      <c r="M8">
        <v>2.1822028E-2</v>
      </c>
      <c r="N8">
        <v>5.4274685999999997E-3</v>
      </c>
      <c r="O8">
        <v>175.4419</v>
      </c>
      <c r="P8">
        <v>-1.1173153E-2</v>
      </c>
      <c r="Q8">
        <v>-2.7844306999999999E-3</v>
      </c>
      <c r="R8">
        <v>-1.9602390000000001</v>
      </c>
      <c r="S8">
        <v>43.08867</v>
      </c>
    </row>
    <row r="9" spans="1:19">
      <c r="A9" t="s">
        <v>6</v>
      </c>
      <c r="B9">
        <v>4386</v>
      </c>
      <c r="C9">
        <v>2158.2530000000002</v>
      </c>
      <c r="D9">
        <v>467.92090000000002</v>
      </c>
      <c r="E9">
        <v>6.675141</v>
      </c>
      <c r="F9">
        <v>1.4265533E-2</v>
      </c>
      <c r="G9">
        <v>1690.329</v>
      </c>
      <c r="H9">
        <v>-13.20712</v>
      </c>
      <c r="I9">
        <v>-7.8133427999999994E-3</v>
      </c>
      <c r="J9">
        <v>-6.5319799999999999</v>
      </c>
      <c r="K9">
        <v>-3.0265125E-3</v>
      </c>
      <c r="L9">
        <v>1985.558</v>
      </c>
      <c r="M9">
        <v>2.1815047000000001E-2</v>
      </c>
      <c r="N9">
        <v>5.4279501000000004E-3</v>
      </c>
      <c r="O9">
        <v>172.69980000000001</v>
      </c>
      <c r="P9">
        <v>-1.1199189999999999E-2</v>
      </c>
      <c r="Q9">
        <v>-2.7949396E-3</v>
      </c>
      <c r="R9">
        <v>-1.9340980000000001</v>
      </c>
      <c r="S9">
        <v>43.315040000000003</v>
      </c>
    </row>
  </sheetData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79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1584.8119999999999</v>
      </c>
      <c r="D2">
        <v>375.07870000000003</v>
      </c>
      <c r="E2">
        <v>5.6652899999999997</v>
      </c>
      <c r="F2">
        <v>1.5104271000000001E-2</v>
      </c>
      <c r="G2">
        <v>1209.739</v>
      </c>
      <c r="H2">
        <v>-9.9035189999999993</v>
      </c>
      <c r="I2">
        <v>-8.1864893000000005E-3</v>
      </c>
      <c r="J2">
        <v>-4.2382289999999996</v>
      </c>
      <c r="K2">
        <v>-2.6742795000000001E-3</v>
      </c>
      <c r="L2">
        <v>1487.46</v>
      </c>
      <c r="M2">
        <v>2.1795385E-2</v>
      </c>
      <c r="N2">
        <v>5.3480313999999998E-3</v>
      </c>
      <c r="O2">
        <v>97.351879999999994</v>
      </c>
      <c r="P2">
        <v>-1.0718959E-2</v>
      </c>
      <c r="Q2">
        <v>-2.6417999000000001E-3</v>
      </c>
      <c r="R2">
        <v>-1.0435110000000001</v>
      </c>
      <c r="S2">
        <v>32.41977</v>
      </c>
    </row>
    <row r="3" spans="1:19">
      <c r="A3" t="s">
        <v>1</v>
      </c>
      <c r="B3">
        <v>4368</v>
      </c>
      <c r="C3">
        <v>1583.14</v>
      </c>
      <c r="D3">
        <v>370.673</v>
      </c>
      <c r="E3">
        <v>5.5950030000000002</v>
      </c>
      <c r="F3">
        <v>1.5094173000000001E-2</v>
      </c>
      <c r="G3">
        <v>1212.473</v>
      </c>
      <c r="H3">
        <v>-9.9595369999999992</v>
      </c>
      <c r="I3">
        <v>-8.2142306000000005E-3</v>
      </c>
      <c r="J3">
        <v>-4.3645329999999998</v>
      </c>
      <c r="K3">
        <v>-2.7568842999999999E-3</v>
      </c>
      <c r="L3">
        <v>1485.867</v>
      </c>
      <c r="M3">
        <v>2.180006E-2</v>
      </c>
      <c r="N3">
        <v>5.3496257999999996E-3</v>
      </c>
      <c r="O3">
        <v>97.272869999999998</v>
      </c>
      <c r="P3">
        <v>-1.0584277E-2</v>
      </c>
      <c r="Q3">
        <v>-2.6064888E-3</v>
      </c>
      <c r="R3">
        <v>-1.029563</v>
      </c>
      <c r="S3">
        <v>32.391979999999997</v>
      </c>
    </row>
    <row r="4" spans="1:19">
      <c r="A4" t="s">
        <v>2</v>
      </c>
      <c r="B4">
        <v>4368</v>
      </c>
      <c r="C4">
        <v>1591.5989999999999</v>
      </c>
      <c r="D4">
        <v>360.2466</v>
      </c>
      <c r="E4">
        <v>4.8235099999999997</v>
      </c>
      <c r="F4">
        <v>1.3389465E-2</v>
      </c>
      <c r="G4">
        <v>1231.3530000000001</v>
      </c>
      <c r="H4">
        <v>-10.06934</v>
      </c>
      <c r="I4">
        <v>-8.1774583000000008E-3</v>
      </c>
      <c r="J4">
        <v>-5.2458280000000004</v>
      </c>
      <c r="K4">
        <v>-3.2959475999999998E-3</v>
      </c>
      <c r="L4">
        <v>1493.0229999999999</v>
      </c>
      <c r="M4">
        <v>2.1520774999999999E-2</v>
      </c>
      <c r="N4">
        <v>5.2899262000000004E-3</v>
      </c>
      <c r="O4">
        <v>98.575869999999995</v>
      </c>
      <c r="P4">
        <v>-1.0393757E-2</v>
      </c>
      <c r="Q4">
        <v>-2.5614342000000001E-3</v>
      </c>
      <c r="R4">
        <v>-1.0245740000000001</v>
      </c>
      <c r="S4">
        <v>32.131010000000003</v>
      </c>
    </row>
    <row r="5" spans="1:19">
      <c r="A5" t="s">
        <v>3</v>
      </c>
      <c r="B5">
        <v>4376</v>
      </c>
      <c r="C5">
        <v>1588.46</v>
      </c>
      <c r="D5">
        <v>372.09379999999999</v>
      </c>
      <c r="E5">
        <v>5.5671010000000001</v>
      </c>
      <c r="F5">
        <v>1.4961556000000001E-2</v>
      </c>
      <c r="G5">
        <v>1216.373</v>
      </c>
      <c r="H5">
        <v>-9.9865870000000001</v>
      </c>
      <c r="I5">
        <v>-8.2101384000000006E-3</v>
      </c>
      <c r="J5">
        <v>-4.4194849999999999</v>
      </c>
      <c r="K5">
        <v>-2.7822446999999999E-3</v>
      </c>
      <c r="L5">
        <v>1495.4</v>
      </c>
      <c r="M5">
        <v>2.1819808E-2</v>
      </c>
      <c r="N5">
        <v>5.3552175000000004E-3</v>
      </c>
      <c r="O5">
        <v>93.059899999999999</v>
      </c>
      <c r="P5">
        <v>-1.0696509999999999E-2</v>
      </c>
      <c r="Q5">
        <v>-2.6333760000000002E-3</v>
      </c>
      <c r="R5">
        <v>-0.99541610000000003</v>
      </c>
      <c r="S5">
        <v>32.629339999999999</v>
      </c>
    </row>
    <row r="6" spans="1:19">
      <c r="A6" t="s">
        <v>4</v>
      </c>
      <c r="B6">
        <v>4382</v>
      </c>
      <c r="C6">
        <v>1608.4280000000001</v>
      </c>
      <c r="D6">
        <v>348.53070000000002</v>
      </c>
      <c r="E6">
        <v>4.9660359999999999</v>
      </c>
      <c r="F6">
        <v>1.4248490000000001E-2</v>
      </c>
      <c r="G6">
        <v>1259.9010000000001</v>
      </c>
      <c r="H6">
        <v>-9.9042750000000002</v>
      </c>
      <c r="I6">
        <v>-7.8611532000000001E-3</v>
      </c>
      <c r="J6">
        <v>-4.9382390000000003</v>
      </c>
      <c r="K6">
        <v>-3.0702262000000002E-3</v>
      </c>
      <c r="L6">
        <v>1499.587</v>
      </c>
      <c r="M6">
        <v>2.1771977000000001E-2</v>
      </c>
      <c r="N6">
        <v>5.3531671999999999E-3</v>
      </c>
      <c r="O6">
        <v>108.8399</v>
      </c>
      <c r="P6">
        <v>-1.0175478E-2</v>
      </c>
      <c r="Q6">
        <v>-2.5113327E-3</v>
      </c>
      <c r="R6">
        <v>-1.1074980000000001</v>
      </c>
      <c r="S6">
        <v>32.648969999999998</v>
      </c>
    </row>
    <row r="7" spans="1:19">
      <c r="A7" t="s">
        <v>42</v>
      </c>
      <c r="B7">
        <v>4382</v>
      </c>
      <c r="C7">
        <v>1593.9380000000001</v>
      </c>
      <c r="D7">
        <v>377.45</v>
      </c>
      <c r="E7">
        <v>5.6495040000000003</v>
      </c>
      <c r="F7">
        <v>1.4967556999999999E-2</v>
      </c>
      <c r="G7">
        <v>1216.4949999999999</v>
      </c>
      <c r="H7">
        <v>-9.999136</v>
      </c>
      <c r="I7">
        <v>-8.2196295000000006E-3</v>
      </c>
      <c r="J7">
        <v>-4.3496319999999997</v>
      </c>
      <c r="K7">
        <v>-2.7288592000000002E-3</v>
      </c>
      <c r="L7">
        <v>1486.201</v>
      </c>
      <c r="M7">
        <v>2.1871686000000001E-2</v>
      </c>
      <c r="N7">
        <v>5.3639802999999996E-3</v>
      </c>
      <c r="O7">
        <v>107.7379</v>
      </c>
      <c r="P7">
        <v>-1.0347156999999999E-2</v>
      </c>
      <c r="Q7">
        <v>-2.545163E-3</v>
      </c>
      <c r="R7">
        <v>-1.114781</v>
      </c>
      <c r="S7">
        <v>32.505719999999997</v>
      </c>
    </row>
    <row r="8" spans="1:19">
      <c r="A8" t="s">
        <v>5</v>
      </c>
      <c r="B8">
        <v>4386</v>
      </c>
      <c r="C8">
        <v>1579.5830000000001</v>
      </c>
      <c r="D8">
        <v>341.24869999999999</v>
      </c>
      <c r="E8">
        <v>4.6855869999999999</v>
      </c>
      <c r="F8">
        <v>1.373071E-2</v>
      </c>
      <c r="G8">
        <v>1238.336</v>
      </c>
      <c r="H8">
        <v>-10.321210000000001</v>
      </c>
      <c r="I8">
        <v>-8.3347418999999996E-3</v>
      </c>
      <c r="J8">
        <v>-5.6356270000000004</v>
      </c>
      <c r="K8">
        <v>-3.5677941E-3</v>
      </c>
      <c r="L8">
        <v>1471.827</v>
      </c>
      <c r="M8">
        <v>2.1675261000000001E-2</v>
      </c>
      <c r="N8">
        <v>5.3241373999999998E-3</v>
      </c>
      <c r="O8">
        <v>107.754</v>
      </c>
      <c r="P8">
        <v>-1.1196230999999999E-2</v>
      </c>
      <c r="Q8">
        <v>-2.7607284000000002E-3</v>
      </c>
      <c r="R8">
        <v>-1.2064379999999999</v>
      </c>
      <c r="S8">
        <v>31.902229999999999</v>
      </c>
    </row>
    <row r="9" spans="1:19">
      <c r="A9" t="s">
        <v>6</v>
      </c>
      <c r="B9">
        <v>4386</v>
      </c>
      <c r="C9">
        <v>1603.374</v>
      </c>
      <c r="D9">
        <v>361.13260000000002</v>
      </c>
      <c r="E9">
        <v>5.2685310000000003</v>
      </c>
      <c r="F9">
        <v>1.4588907999999999E-2</v>
      </c>
      <c r="G9">
        <v>1242.2429999999999</v>
      </c>
      <c r="H9">
        <v>-9.7572670000000006</v>
      </c>
      <c r="I9">
        <v>-7.8545556999999998E-3</v>
      </c>
      <c r="J9">
        <v>-4.4887360000000003</v>
      </c>
      <c r="K9">
        <v>-2.7995558999999999E-3</v>
      </c>
      <c r="L9">
        <v>1495.2950000000001</v>
      </c>
      <c r="M9">
        <v>2.1709348999999999E-2</v>
      </c>
      <c r="N9">
        <v>5.3364904999999999E-3</v>
      </c>
      <c r="O9">
        <v>108.07689999999999</v>
      </c>
      <c r="P9">
        <v>-1.1072022000000001E-2</v>
      </c>
      <c r="Q9">
        <v>-2.7320322000000002E-3</v>
      </c>
      <c r="R9">
        <v>-1.1966300000000001</v>
      </c>
      <c r="S9">
        <v>32.461869999999998</v>
      </c>
    </row>
  </sheetData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80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1238.5050000000001</v>
      </c>
      <c r="D2">
        <v>303.4563</v>
      </c>
      <c r="E2">
        <v>4.6527250000000002</v>
      </c>
      <c r="F2">
        <v>1.5332437000000001E-2</v>
      </c>
      <c r="G2">
        <v>935.04510000000005</v>
      </c>
      <c r="H2">
        <v>-7.5930799999999996</v>
      </c>
      <c r="I2">
        <v>-8.1205488999999999E-3</v>
      </c>
      <c r="J2">
        <v>-2.9403540000000001</v>
      </c>
      <c r="K2">
        <v>-2.3741158999999999E-3</v>
      </c>
      <c r="L2">
        <v>1176.712</v>
      </c>
      <c r="M2">
        <v>2.1563698999999999E-2</v>
      </c>
      <c r="N2">
        <v>5.2469539999999999E-3</v>
      </c>
      <c r="O2">
        <v>61.789969999999997</v>
      </c>
      <c r="P2">
        <v>-9.8005217000000002E-3</v>
      </c>
      <c r="Q2">
        <v>-2.3935725999999998E-3</v>
      </c>
      <c r="R2">
        <v>-0.6055739</v>
      </c>
      <c r="S2">
        <v>25.374269999999999</v>
      </c>
    </row>
    <row r="3" spans="1:19">
      <c r="A3" t="s">
        <v>1</v>
      </c>
      <c r="B3">
        <v>4368</v>
      </c>
      <c r="C3">
        <v>1244.5550000000001</v>
      </c>
      <c r="D3">
        <v>304.7158</v>
      </c>
      <c r="E3">
        <v>4.6474489999999999</v>
      </c>
      <c r="F3">
        <v>1.5251746E-2</v>
      </c>
      <c r="G3">
        <v>939.83389999999997</v>
      </c>
      <c r="H3">
        <v>-7.5927720000000001</v>
      </c>
      <c r="I3">
        <v>-8.0788443000000005E-3</v>
      </c>
      <c r="J3">
        <v>-2.9453230000000001</v>
      </c>
      <c r="K3">
        <v>-2.3665673000000001E-3</v>
      </c>
      <c r="L3">
        <v>1178.4090000000001</v>
      </c>
      <c r="M3">
        <v>2.1522427E-2</v>
      </c>
      <c r="N3">
        <v>5.2379621000000001E-3</v>
      </c>
      <c r="O3">
        <v>66.142970000000005</v>
      </c>
      <c r="P3">
        <v>-9.8581966000000007E-3</v>
      </c>
      <c r="Q3">
        <v>-2.4060900000000001E-3</v>
      </c>
      <c r="R3">
        <v>-0.65205040000000003</v>
      </c>
      <c r="S3">
        <v>25.362210000000001</v>
      </c>
    </row>
    <row r="4" spans="1:19">
      <c r="A4" t="s">
        <v>2</v>
      </c>
      <c r="B4">
        <v>4368</v>
      </c>
      <c r="C4">
        <v>1256.5830000000001</v>
      </c>
      <c r="D4">
        <v>295.60399999999998</v>
      </c>
      <c r="E4">
        <v>4.0114939999999999</v>
      </c>
      <c r="F4">
        <v>1.3570497000000001E-2</v>
      </c>
      <c r="G4">
        <v>960.97230000000002</v>
      </c>
      <c r="H4">
        <v>-7.913227</v>
      </c>
      <c r="I4">
        <v>-8.2346043000000001E-3</v>
      </c>
      <c r="J4">
        <v>-3.9017330000000001</v>
      </c>
      <c r="K4">
        <v>-3.1050346000000002E-3</v>
      </c>
      <c r="L4">
        <v>1188.6110000000001</v>
      </c>
      <c r="M4">
        <v>2.152741E-2</v>
      </c>
      <c r="N4">
        <v>5.2455328000000001E-3</v>
      </c>
      <c r="O4">
        <v>67.968950000000007</v>
      </c>
      <c r="P4">
        <v>-9.5902708999999996E-3</v>
      </c>
      <c r="Q4">
        <v>-2.3447505999999998E-3</v>
      </c>
      <c r="R4">
        <v>-0.65184059999999999</v>
      </c>
      <c r="S4">
        <v>25.587710000000001</v>
      </c>
    </row>
    <row r="5" spans="1:19">
      <c r="A5" t="s">
        <v>3</v>
      </c>
      <c r="B5">
        <v>4376</v>
      </c>
      <c r="C5">
        <v>1243.442</v>
      </c>
      <c r="D5">
        <v>301.41649999999998</v>
      </c>
      <c r="E5">
        <v>4.6191560000000003</v>
      </c>
      <c r="F5">
        <v>1.5324829E-2</v>
      </c>
      <c r="G5">
        <v>942.02250000000004</v>
      </c>
      <c r="H5">
        <v>-7.6955739999999997</v>
      </c>
      <c r="I5">
        <v>-8.1692039999999994E-3</v>
      </c>
      <c r="J5">
        <v>-3.0764179999999999</v>
      </c>
      <c r="K5">
        <v>-2.4741145000000001E-3</v>
      </c>
      <c r="L5">
        <v>1180.175</v>
      </c>
      <c r="M5">
        <v>2.1693533000000001E-2</v>
      </c>
      <c r="N5">
        <v>5.2787983E-3</v>
      </c>
      <c r="O5">
        <v>63.264969999999998</v>
      </c>
      <c r="P5">
        <v>-9.8057509999999997E-3</v>
      </c>
      <c r="Q5">
        <v>-2.3952143000000002E-3</v>
      </c>
      <c r="R5">
        <v>-0.62036049999999998</v>
      </c>
      <c r="S5">
        <v>25.602170000000001</v>
      </c>
    </row>
    <row r="6" spans="1:19">
      <c r="A6" t="s">
        <v>4</v>
      </c>
      <c r="B6">
        <v>4382</v>
      </c>
      <c r="C6">
        <v>1255.117</v>
      </c>
      <c r="D6">
        <v>287.45780000000002</v>
      </c>
      <c r="E6">
        <v>4.1683490000000001</v>
      </c>
      <c r="F6">
        <v>1.4500735000000001E-2</v>
      </c>
      <c r="G6">
        <v>967.654</v>
      </c>
      <c r="H6">
        <v>-7.5478040000000002</v>
      </c>
      <c r="I6">
        <v>-7.8001060000000002E-3</v>
      </c>
      <c r="J6">
        <v>-3.3794550000000001</v>
      </c>
      <c r="K6">
        <v>-2.6925406E-3</v>
      </c>
      <c r="L6">
        <v>1179.4269999999999</v>
      </c>
      <c r="M6">
        <v>2.1660560999999998E-2</v>
      </c>
      <c r="N6">
        <v>5.2783168000000002E-3</v>
      </c>
      <c r="O6">
        <v>75.687939999999998</v>
      </c>
      <c r="P6">
        <v>-9.3571581000000004E-3</v>
      </c>
      <c r="Q6">
        <v>-2.2919872000000002E-3</v>
      </c>
      <c r="R6">
        <v>-0.70822410000000002</v>
      </c>
      <c r="S6">
        <v>25.547049999999999</v>
      </c>
    </row>
    <row r="7" spans="1:19">
      <c r="A7" t="s">
        <v>42</v>
      </c>
      <c r="B7">
        <v>4382</v>
      </c>
      <c r="C7">
        <v>1245.7380000000001</v>
      </c>
      <c r="D7">
        <v>303.83839999999998</v>
      </c>
      <c r="E7">
        <v>4.6120380000000001</v>
      </c>
      <c r="F7">
        <v>1.5179244E-2</v>
      </c>
      <c r="G7">
        <v>941.89469999999994</v>
      </c>
      <c r="H7">
        <v>-7.690925</v>
      </c>
      <c r="I7">
        <v>-8.1653763000000008E-3</v>
      </c>
      <c r="J7">
        <v>-3.0788869999999999</v>
      </c>
      <c r="K7">
        <v>-2.4715361999999999E-3</v>
      </c>
      <c r="L7">
        <v>1170.875</v>
      </c>
      <c r="M7">
        <v>2.186227E-2</v>
      </c>
      <c r="N7">
        <v>5.3163011999999999E-3</v>
      </c>
      <c r="O7">
        <v>74.861930000000001</v>
      </c>
      <c r="P7">
        <v>-9.4845295E-3</v>
      </c>
      <c r="Q7">
        <v>-2.3128020000000001E-3</v>
      </c>
      <c r="R7">
        <v>-0.71003019999999994</v>
      </c>
      <c r="S7">
        <v>25.597989999999999</v>
      </c>
    </row>
    <row r="8" spans="1:19">
      <c r="A8" t="s">
        <v>5</v>
      </c>
      <c r="B8">
        <v>4386</v>
      </c>
      <c r="C8">
        <v>1238.3320000000001</v>
      </c>
      <c r="D8">
        <v>274.64909999999998</v>
      </c>
      <c r="E8">
        <v>3.8339500000000002</v>
      </c>
      <c r="F8">
        <v>1.3959444999999999E-2</v>
      </c>
      <c r="G8">
        <v>963.67629999999997</v>
      </c>
      <c r="H8">
        <v>-8.0824099999999994</v>
      </c>
      <c r="I8">
        <v>-8.3870590000000005E-3</v>
      </c>
      <c r="J8">
        <v>-4.2484599999999997</v>
      </c>
      <c r="K8">
        <v>-3.4307932999999998E-3</v>
      </c>
      <c r="L8">
        <v>1163.384</v>
      </c>
      <c r="M8">
        <v>2.1737320000000001E-2</v>
      </c>
      <c r="N8">
        <v>5.2905525000000002E-3</v>
      </c>
      <c r="O8">
        <v>74.946910000000003</v>
      </c>
      <c r="P8">
        <v>-1.0568315E-2</v>
      </c>
      <c r="Q8">
        <v>-2.58844E-3</v>
      </c>
      <c r="R8">
        <v>-0.79206259999999995</v>
      </c>
      <c r="S8">
        <v>25.28884</v>
      </c>
    </row>
    <row r="9" spans="1:19">
      <c r="A9" t="s">
        <v>6</v>
      </c>
      <c r="B9">
        <v>4386</v>
      </c>
      <c r="C9">
        <v>1253.1849999999999</v>
      </c>
      <c r="D9">
        <v>295.89679999999998</v>
      </c>
      <c r="E9">
        <v>4.3819629999999998</v>
      </c>
      <c r="F9">
        <v>1.4809093000000001E-2</v>
      </c>
      <c r="G9">
        <v>957.28150000000005</v>
      </c>
      <c r="H9">
        <v>-7.5000660000000003</v>
      </c>
      <c r="I9">
        <v>-7.8347548999999992E-3</v>
      </c>
      <c r="J9">
        <v>-3.1181030000000001</v>
      </c>
      <c r="K9">
        <v>-2.4881427999999999E-3</v>
      </c>
      <c r="L9">
        <v>1177.817</v>
      </c>
      <c r="M9">
        <v>2.1672588E-2</v>
      </c>
      <c r="N9">
        <v>5.2794911999999999E-3</v>
      </c>
      <c r="O9">
        <v>75.364919999999998</v>
      </c>
      <c r="P9">
        <v>-1.0461028000000001E-2</v>
      </c>
      <c r="Q9">
        <v>-2.5597224000000001E-3</v>
      </c>
      <c r="R9">
        <v>-0.7883945</v>
      </c>
      <c r="S9">
        <v>25.526340000000001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"AA_pho_ind_1.4A"</f>
        <v>AA_pho_ind_1.4A</v>
      </c>
      <c r="C1" s="1" t="str">
        <f>"AA_pho_ind_2A"</f>
        <v>AA_pho_ind_2A</v>
      </c>
      <c r="D1" s="1" t="str">
        <f>"AA_pho_ind_3A"</f>
        <v>AA_pho_ind_3A</v>
      </c>
      <c r="E1" s="1" t="str">
        <f>"AA_pho_ind_4A"</f>
        <v>AA_pho_ind_4A</v>
      </c>
      <c r="F1" s="1" t="str">
        <f>"AA_pho_ind_5A"</f>
        <v>AA_pho_ind_5A</v>
      </c>
      <c r="G1" s="1" t="str">
        <f>"AA_pho_ind_6A"</f>
        <v>AA_pho_ind_6A</v>
      </c>
      <c r="H1" s="1" t="str">
        <f>"AA_pho_ind_7A"</f>
        <v>AA_pho_ind_7A</v>
      </c>
      <c r="I1" s="1" t="str">
        <f>"AA_pho_ind_8A"</f>
        <v>AA_pho_ind_8A</v>
      </c>
      <c r="J1" s="1" t="str">
        <f>"AA_pho_ind_9A"</f>
        <v>AA_pho_ind_9A</v>
      </c>
      <c r="K1" s="1" t="str">
        <f>"AA_pho_ind_10A"</f>
        <v>AA_pho_ind_10A</v>
      </c>
      <c r="L1" s="1" t="str">
        <f>"AA_pho_ind_11A"</f>
        <v>AA_pho_ind_11A</v>
      </c>
      <c r="M1" s="1" t="str">
        <f>"AA_pho_ind_12A"</f>
        <v>AA_pho_ind_12A</v>
      </c>
      <c r="N1" s="1" t="str">
        <f>"AA_pho_ind_13A"</f>
        <v>AA_pho_ind_13A</v>
      </c>
      <c r="O1" s="1" t="str">
        <f>"AA_pho_ind_14A"</f>
        <v>AA_pho_ind_14A</v>
      </c>
      <c r="P1" s="1" t="str">
        <f>"AA_pho_ind_15A"</f>
        <v>AA_pho_ind_15A</v>
      </c>
      <c r="Q1" s="1" t="str">
        <f>"AA_pho_ind_16A"</f>
        <v>AA_pho_ind_16A</v>
      </c>
      <c r="R1" s="1" t="str">
        <f>"AA_pho_ind_17A"</f>
        <v>AA_pho_ind_17A</v>
      </c>
      <c r="S1" s="1" t="str">
        <f>"AA_pho_ind_18A"</f>
        <v>AA_pho_ind_18A</v>
      </c>
      <c r="T1" s="1" t="str">
        <f>"AA_pho_ind_19A"</f>
        <v>AA_pho_ind_19A</v>
      </c>
      <c r="U1" s="1" t="str">
        <f>"AA_pho_ind_20A"</f>
        <v>AA_pho_ind_20A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-1.2414543E-2</v>
      </c>
      <c r="C3">
        <v>-1.2383896E-2</v>
      </c>
      <c r="D3">
        <v>-1.1483067E-2</v>
      </c>
      <c r="E3">
        <v>-1.0812323E-2</v>
      </c>
      <c r="F3">
        <v>-1.0718959E-2</v>
      </c>
      <c r="G3">
        <v>-9.8005217000000002E-3</v>
      </c>
      <c r="H3">
        <v>-9.8907687000000001E-3</v>
      </c>
      <c r="I3">
        <v>-9.8533639999999999E-3</v>
      </c>
      <c r="J3">
        <v>-9.4079356999999999E-3</v>
      </c>
      <c r="K3">
        <v>-9.0945269999999998E-3</v>
      </c>
      <c r="L3">
        <v>-9.7359036999999995E-3</v>
      </c>
      <c r="M3">
        <v>-9.9932682000000005E-3</v>
      </c>
      <c r="N3">
        <v>-9.4658368999999999E-3</v>
      </c>
      <c r="O3">
        <v>-9.6501847999999994E-3</v>
      </c>
      <c r="P3">
        <v>-9.6787288999999992E-3</v>
      </c>
      <c r="Q3">
        <v>-9.7245425000000007E-3</v>
      </c>
      <c r="R3">
        <v>-9.5555213999999992E-3</v>
      </c>
      <c r="S3">
        <v>-9.9310632999999992E-3</v>
      </c>
      <c r="T3">
        <v>-1.0138103000000001E-2</v>
      </c>
      <c r="U3">
        <v>-1.0299301E-2</v>
      </c>
    </row>
    <row r="4" spans="1:24">
      <c r="A4" t="s">
        <v>1</v>
      </c>
      <c r="B4">
        <v>-1.2463695E-2</v>
      </c>
      <c r="C4">
        <v>-1.2438205000000001E-2</v>
      </c>
      <c r="D4">
        <v>-1.1518230000000001E-2</v>
      </c>
      <c r="E4">
        <v>-1.071751E-2</v>
      </c>
      <c r="F4">
        <v>-1.0584277E-2</v>
      </c>
      <c r="G4">
        <v>-9.8581966000000007E-3</v>
      </c>
      <c r="H4">
        <v>-1.0166542000000001E-2</v>
      </c>
      <c r="I4">
        <v>-9.7381072000000003E-3</v>
      </c>
      <c r="J4">
        <v>-9.7945640000000004E-3</v>
      </c>
      <c r="K4">
        <v>-9.2137800999999991E-3</v>
      </c>
      <c r="L4">
        <v>-9.9079404000000006E-3</v>
      </c>
      <c r="M4">
        <v>-9.9843833999999996E-3</v>
      </c>
      <c r="N4">
        <v>-9.5652471999999999E-3</v>
      </c>
      <c r="O4">
        <v>-9.6104080000000008E-3</v>
      </c>
      <c r="P4">
        <v>-9.8780802999999997E-3</v>
      </c>
      <c r="Q4">
        <v>-1.0033431000000001E-2</v>
      </c>
      <c r="R4">
        <v>-9.6795699000000006E-3</v>
      </c>
      <c r="S4">
        <v>-9.8480367999999995E-3</v>
      </c>
      <c r="T4">
        <v>-9.9250823000000005E-3</v>
      </c>
      <c r="U4">
        <v>-1.0019561999999999E-2</v>
      </c>
    </row>
    <row r="5" spans="1:24">
      <c r="A5" t="s">
        <v>2</v>
      </c>
      <c r="B5">
        <v>-1.2405388E-2</v>
      </c>
      <c r="C5">
        <v>-1.2356499999999999E-2</v>
      </c>
      <c r="D5">
        <v>-1.128403E-2</v>
      </c>
      <c r="E5">
        <v>-1.0480114E-2</v>
      </c>
      <c r="F5">
        <v>-1.0393757E-2</v>
      </c>
      <c r="G5">
        <v>-9.5902708999999996E-3</v>
      </c>
      <c r="H5">
        <v>-9.6369507000000007E-3</v>
      </c>
      <c r="I5">
        <v>-9.4608738999999997E-3</v>
      </c>
      <c r="J5">
        <v>-9.2913071E-3</v>
      </c>
      <c r="K5">
        <v>-8.9567312999999996E-3</v>
      </c>
      <c r="L5">
        <v>-9.7689106999999994E-3</v>
      </c>
      <c r="M5">
        <v>-9.8390300000000003E-3</v>
      </c>
      <c r="N5">
        <v>-9.3614644999999996E-3</v>
      </c>
      <c r="O5">
        <v>-9.3157551999999994E-3</v>
      </c>
      <c r="P5">
        <v>-9.419363E-3</v>
      </c>
      <c r="Q5">
        <v>-9.3765371000000004E-3</v>
      </c>
      <c r="R5">
        <v>-9.0701114000000006E-3</v>
      </c>
      <c r="S5">
        <v>-9.5222080000000008E-3</v>
      </c>
      <c r="T5">
        <v>-9.9129992999999993E-3</v>
      </c>
      <c r="U5">
        <v>-9.9555514999999997E-3</v>
      </c>
    </row>
    <row r="6" spans="1:24">
      <c r="A6" t="s">
        <v>3</v>
      </c>
      <c r="B6">
        <v>-1.2451220000000001E-2</v>
      </c>
      <c r="C6">
        <v>-1.2434855999999999E-2</v>
      </c>
      <c r="D6">
        <v>-1.150268E-2</v>
      </c>
      <c r="E6">
        <v>-1.0891349E-2</v>
      </c>
      <c r="F6">
        <v>-1.0696509999999999E-2</v>
      </c>
      <c r="G6">
        <v>-9.8057509999999997E-3</v>
      </c>
      <c r="H6">
        <v>-1.0054721000000001E-2</v>
      </c>
      <c r="I6">
        <v>-9.7413919999999998E-3</v>
      </c>
      <c r="J6">
        <v>-9.5618768000000007E-3</v>
      </c>
      <c r="K6">
        <v>-9.1988081000000006E-3</v>
      </c>
      <c r="L6">
        <v>-9.8196668999999993E-3</v>
      </c>
      <c r="M6">
        <v>-9.8740384E-3</v>
      </c>
      <c r="N6">
        <v>-9.5406324000000004E-3</v>
      </c>
      <c r="O6">
        <v>-9.3100023999999997E-3</v>
      </c>
      <c r="P6">
        <v>-9.3859042999999993E-3</v>
      </c>
      <c r="Q6">
        <v>-1.0001029E-2</v>
      </c>
      <c r="R6">
        <v>-9.8168150999999992E-3</v>
      </c>
      <c r="S6">
        <v>-1.019424E-2</v>
      </c>
      <c r="T6">
        <v>-1.0137344E-2</v>
      </c>
      <c r="U6">
        <v>-1.0138678999999999E-2</v>
      </c>
    </row>
    <row r="7" spans="1:24">
      <c r="A7" t="s">
        <v>4</v>
      </c>
      <c r="B7">
        <v>-1.2319553E-2</v>
      </c>
      <c r="C7">
        <v>-1.2243436999999999E-2</v>
      </c>
      <c r="D7">
        <v>-1.1209833000000001E-2</v>
      </c>
      <c r="E7">
        <v>-1.025379E-2</v>
      </c>
      <c r="F7">
        <v>-1.0175478E-2</v>
      </c>
      <c r="G7">
        <v>-9.3571581000000004E-3</v>
      </c>
      <c r="H7">
        <v>-9.2897136000000009E-3</v>
      </c>
      <c r="I7">
        <v>-9.4471591999999993E-3</v>
      </c>
      <c r="J7">
        <v>-9.1001503000000001E-3</v>
      </c>
      <c r="K7">
        <v>-9.0403798999999993E-3</v>
      </c>
      <c r="L7">
        <v>-9.7918239999999993E-3</v>
      </c>
      <c r="M7">
        <v>-1.0107858000000001E-2</v>
      </c>
      <c r="N7">
        <v>-9.6547659000000008E-3</v>
      </c>
      <c r="O7">
        <v>-9.4290702000000004E-3</v>
      </c>
      <c r="P7">
        <v>-9.2160003000000008E-3</v>
      </c>
      <c r="Q7">
        <v>-9.4871065000000001E-3</v>
      </c>
      <c r="R7">
        <v>-9.2086093999999997E-3</v>
      </c>
      <c r="S7">
        <v>-9.3801756999999999E-3</v>
      </c>
      <c r="T7">
        <v>-9.7976456999999996E-3</v>
      </c>
      <c r="U7">
        <v>-9.7988611000000003E-3</v>
      </c>
    </row>
    <row r="8" spans="1:24">
      <c r="A8" t="s">
        <v>42</v>
      </c>
      <c r="B8">
        <v>-1.2304641E-2</v>
      </c>
      <c r="C8">
        <v>-1.2270424E-2</v>
      </c>
      <c r="D8">
        <v>-1.1303463E-2</v>
      </c>
      <c r="E8">
        <v>-1.0487569E-2</v>
      </c>
      <c r="F8">
        <v>-1.0347156999999999E-2</v>
      </c>
      <c r="G8">
        <v>-9.4845295E-3</v>
      </c>
      <c r="H8">
        <v>-9.6532450999999991E-3</v>
      </c>
      <c r="I8">
        <v>-9.4562927000000005E-3</v>
      </c>
      <c r="J8">
        <v>-9.1527533000000001E-3</v>
      </c>
      <c r="K8">
        <v>-8.8247042000000001E-3</v>
      </c>
      <c r="L8">
        <v>-9.5287757000000004E-3</v>
      </c>
      <c r="M8">
        <v>-9.8860217000000007E-3</v>
      </c>
      <c r="N8">
        <v>-9.1794896999999997E-3</v>
      </c>
      <c r="O8">
        <v>-9.3035511999999994E-3</v>
      </c>
      <c r="P8">
        <v>-9.3943896000000006E-3</v>
      </c>
      <c r="Q8">
        <v>-9.5216100999999994E-3</v>
      </c>
      <c r="R8">
        <v>-9.3856323999999998E-3</v>
      </c>
      <c r="S8">
        <v>-9.8460969000000002E-3</v>
      </c>
      <c r="T8">
        <v>-1.0065523999999999E-2</v>
      </c>
      <c r="U8">
        <v>-9.9779832999999998E-3</v>
      </c>
    </row>
    <row r="9" spans="1:24">
      <c r="A9" t="s">
        <v>5</v>
      </c>
      <c r="B9">
        <v>-1.2679215000000001E-2</v>
      </c>
      <c r="C9">
        <v>-1.2692939E-2</v>
      </c>
      <c r="D9">
        <v>-1.1871886999999999E-2</v>
      </c>
      <c r="E9">
        <v>-1.1173153E-2</v>
      </c>
      <c r="F9">
        <v>-1.1196230999999999E-2</v>
      </c>
      <c r="G9">
        <v>-1.0568315E-2</v>
      </c>
      <c r="H9">
        <v>-1.0765393E-2</v>
      </c>
      <c r="I9">
        <v>-1.0415914E-2</v>
      </c>
      <c r="J9">
        <v>-1.0224864E-2</v>
      </c>
      <c r="K9">
        <v>-9.8568816000000007E-3</v>
      </c>
      <c r="L9">
        <v>-1.0346009E-2</v>
      </c>
      <c r="M9">
        <v>-1.0105269E-2</v>
      </c>
      <c r="N9">
        <v>-9.4717256999999992E-3</v>
      </c>
      <c r="O9">
        <v>-9.6210976999999993E-3</v>
      </c>
      <c r="P9">
        <v>-9.7801024000000007E-3</v>
      </c>
      <c r="Q9">
        <v>-9.8834075E-3</v>
      </c>
      <c r="R9">
        <v>-9.8514818000000007E-3</v>
      </c>
      <c r="S9">
        <v>-9.5691019999999995E-3</v>
      </c>
      <c r="T9">
        <v>-9.7772394999999998E-3</v>
      </c>
      <c r="U9">
        <v>-9.7702694999999996E-3</v>
      </c>
    </row>
    <row r="10" spans="1:24">
      <c r="A10" t="s">
        <v>6</v>
      </c>
      <c r="B10">
        <v>-1.2713403E-2</v>
      </c>
      <c r="C10">
        <v>-1.2755673E-2</v>
      </c>
      <c r="D10">
        <v>-1.1921126000000001E-2</v>
      </c>
      <c r="E10">
        <v>-1.1199189999999999E-2</v>
      </c>
      <c r="F10">
        <v>-1.1072022000000001E-2</v>
      </c>
      <c r="G10">
        <v>-1.0461028000000001E-2</v>
      </c>
      <c r="H10">
        <v>-1.0401545E-2</v>
      </c>
      <c r="I10">
        <v>-1.0474529999999999E-2</v>
      </c>
      <c r="J10">
        <v>-1.0292249999999999E-2</v>
      </c>
      <c r="K10">
        <v>-9.6146063999999996E-3</v>
      </c>
      <c r="L10">
        <v>-9.7671318999999999E-3</v>
      </c>
      <c r="M10">
        <v>-9.7273429999999994E-3</v>
      </c>
      <c r="N10">
        <v>-9.1820163999999996E-3</v>
      </c>
      <c r="O10">
        <v>-9.1521134999999997E-3</v>
      </c>
      <c r="P10">
        <v>-9.1708107000000004E-3</v>
      </c>
      <c r="Q10">
        <v>-9.2327808999999993E-3</v>
      </c>
      <c r="R10">
        <v>-9.2408079999999997E-3</v>
      </c>
      <c r="S10">
        <v>-9.4121712999999992E-3</v>
      </c>
      <c r="T10">
        <v>-9.7258733999999996E-3</v>
      </c>
      <c r="U10">
        <v>-9.7244176999999998E-3</v>
      </c>
    </row>
  </sheetData>
  <phoneticPr fontId="0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81"/>
  <dimension ref="A1:S9"/>
  <sheetViews>
    <sheetView zoomScaleNormal="100"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1011.49</v>
      </c>
      <c r="D2">
        <v>252.691</v>
      </c>
      <c r="E2">
        <v>3.9013390000000001</v>
      </c>
      <c r="F2">
        <v>1.5439164999999999E-2</v>
      </c>
      <c r="G2">
        <v>758.80089999999996</v>
      </c>
      <c r="H2">
        <v>-6.1650530000000003</v>
      </c>
      <c r="I2">
        <v>-8.1247314999999994E-3</v>
      </c>
      <c r="J2">
        <v>-2.2637149999999999</v>
      </c>
      <c r="K2">
        <v>-2.2379993000000002E-3</v>
      </c>
      <c r="L2">
        <v>961.05650000000003</v>
      </c>
      <c r="M2">
        <v>2.1882469000000002E-2</v>
      </c>
      <c r="N2">
        <v>5.2893078000000003E-3</v>
      </c>
      <c r="O2">
        <v>50.434010000000001</v>
      </c>
      <c r="P2">
        <v>-9.8907687000000001E-3</v>
      </c>
      <c r="Q2">
        <v>-2.3982269000000001E-3</v>
      </c>
      <c r="R2">
        <v>-0.49883119999999997</v>
      </c>
      <c r="S2">
        <v>21.030290000000001</v>
      </c>
    </row>
    <row r="3" spans="1:19">
      <c r="A3" t="s">
        <v>1</v>
      </c>
      <c r="B3">
        <v>4368</v>
      </c>
      <c r="C3">
        <v>1007.421</v>
      </c>
      <c r="D3">
        <v>249.3058</v>
      </c>
      <c r="E3">
        <v>3.8292480000000002</v>
      </c>
      <c r="F3">
        <v>1.5359644E-2</v>
      </c>
      <c r="G3">
        <v>758.11540000000002</v>
      </c>
      <c r="H3">
        <v>-6.1892569999999996</v>
      </c>
      <c r="I3">
        <v>-8.1640043999999991E-3</v>
      </c>
      <c r="J3">
        <v>-2.3600089999999998</v>
      </c>
      <c r="K3">
        <v>-2.3426248E-3</v>
      </c>
      <c r="L3">
        <v>957.53179999999998</v>
      </c>
      <c r="M3">
        <v>2.1870364E-2</v>
      </c>
      <c r="N3">
        <v>5.2882750000000003E-3</v>
      </c>
      <c r="O3">
        <v>49.889020000000002</v>
      </c>
      <c r="P3">
        <v>-1.0166542000000001E-2</v>
      </c>
      <c r="Q3">
        <v>-2.4621299999999999E-3</v>
      </c>
      <c r="R3">
        <v>-0.50719879999999995</v>
      </c>
      <c r="S3">
        <v>20.941569999999999</v>
      </c>
    </row>
    <row r="4" spans="1:19">
      <c r="A4" t="s">
        <v>2</v>
      </c>
      <c r="B4">
        <v>4368</v>
      </c>
      <c r="C4">
        <v>1028.845</v>
      </c>
      <c r="D4">
        <v>245.3528</v>
      </c>
      <c r="E4">
        <v>3.4190640000000001</v>
      </c>
      <c r="F4">
        <v>1.3935296999999999E-2</v>
      </c>
      <c r="G4">
        <v>783.49270000000001</v>
      </c>
      <c r="H4">
        <v>-6.4325029999999996</v>
      </c>
      <c r="I4">
        <v>-8.2100349999999992E-3</v>
      </c>
      <c r="J4">
        <v>-3.013439</v>
      </c>
      <c r="K4">
        <v>-2.9289517999999998E-3</v>
      </c>
      <c r="L4">
        <v>978.04610000000002</v>
      </c>
      <c r="M4">
        <v>2.1700185E-2</v>
      </c>
      <c r="N4">
        <v>5.2534113999999996E-3</v>
      </c>
      <c r="O4">
        <v>50.799010000000003</v>
      </c>
      <c r="P4">
        <v>-9.6369507000000007E-3</v>
      </c>
      <c r="Q4">
        <v>-2.3423328999999998E-3</v>
      </c>
      <c r="R4">
        <v>-0.48954760000000003</v>
      </c>
      <c r="S4">
        <v>21.223780000000001</v>
      </c>
    </row>
    <row r="5" spans="1:19">
      <c r="A5" t="s">
        <v>3</v>
      </c>
      <c r="B5">
        <v>4376</v>
      </c>
      <c r="C5">
        <v>1010.104</v>
      </c>
      <c r="D5">
        <v>248.9906</v>
      </c>
      <c r="E5">
        <v>3.8642020000000001</v>
      </c>
      <c r="F5">
        <v>1.5519468E-2</v>
      </c>
      <c r="G5">
        <v>761.11310000000003</v>
      </c>
      <c r="H5">
        <v>-6.2238309999999997</v>
      </c>
      <c r="I5">
        <v>-8.1772748000000003E-3</v>
      </c>
      <c r="J5">
        <v>-2.3596279999999998</v>
      </c>
      <c r="K5">
        <v>-2.3360240999999999E-3</v>
      </c>
      <c r="L5">
        <v>960.13599999999997</v>
      </c>
      <c r="M5">
        <v>2.194689E-2</v>
      </c>
      <c r="N5">
        <v>5.3051356000000001E-3</v>
      </c>
      <c r="O5">
        <v>49.96801</v>
      </c>
      <c r="P5">
        <v>-1.0054721000000001E-2</v>
      </c>
      <c r="Q5">
        <v>-2.4389049999999999E-3</v>
      </c>
      <c r="R5">
        <v>-0.50241440000000004</v>
      </c>
      <c r="S5">
        <v>21.071999999999999</v>
      </c>
    </row>
    <row r="6" spans="1:19">
      <c r="A6" t="s">
        <v>4</v>
      </c>
      <c r="B6">
        <v>4382</v>
      </c>
      <c r="C6">
        <v>1017.7809999999999</v>
      </c>
      <c r="D6">
        <v>238.88800000000001</v>
      </c>
      <c r="E6">
        <v>3.4443000000000001</v>
      </c>
      <c r="F6">
        <v>1.4418057E-2</v>
      </c>
      <c r="G6">
        <v>778.89409999999998</v>
      </c>
      <c r="H6">
        <v>-5.9894670000000003</v>
      </c>
      <c r="I6">
        <v>-7.6897060000000001E-3</v>
      </c>
      <c r="J6">
        <v>-2.545166</v>
      </c>
      <c r="K6">
        <v>-2.5007002999999999E-3</v>
      </c>
      <c r="L6">
        <v>961.36109999999996</v>
      </c>
      <c r="M6">
        <v>2.1710991999999998E-2</v>
      </c>
      <c r="N6">
        <v>5.2548092999999997E-3</v>
      </c>
      <c r="O6">
        <v>56.420029999999997</v>
      </c>
      <c r="P6">
        <v>-9.2897136000000009E-3</v>
      </c>
      <c r="Q6">
        <v>-2.2591633999999999E-3</v>
      </c>
      <c r="R6">
        <v>-0.52412590000000003</v>
      </c>
      <c r="S6">
        <v>20.8721</v>
      </c>
    </row>
    <row r="7" spans="1:19">
      <c r="A7" t="s">
        <v>42</v>
      </c>
      <c r="B7">
        <v>4382</v>
      </c>
      <c r="C7">
        <v>1011.285</v>
      </c>
      <c r="D7">
        <v>250.75059999999999</v>
      </c>
      <c r="E7">
        <v>3.817399</v>
      </c>
      <c r="F7">
        <v>1.5223884E-2</v>
      </c>
      <c r="G7">
        <v>760.53489999999999</v>
      </c>
      <c r="H7">
        <v>-6.1674660000000001</v>
      </c>
      <c r="I7">
        <v>-8.1093795999999992E-3</v>
      </c>
      <c r="J7">
        <v>-2.3500670000000001</v>
      </c>
      <c r="K7">
        <v>-2.3238424000000001E-3</v>
      </c>
      <c r="L7">
        <v>955.36479999999995</v>
      </c>
      <c r="M7">
        <v>2.2076551E-2</v>
      </c>
      <c r="N7">
        <v>5.3327838000000001E-3</v>
      </c>
      <c r="O7">
        <v>55.921030000000002</v>
      </c>
      <c r="P7">
        <v>-9.6532450999999991E-3</v>
      </c>
      <c r="Q7">
        <v>-2.3368807000000002E-3</v>
      </c>
      <c r="R7">
        <v>-0.53981939999999995</v>
      </c>
      <c r="S7">
        <v>21.091159999999999</v>
      </c>
    </row>
    <row r="8" spans="1:19">
      <c r="A8" t="s">
        <v>5</v>
      </c>
      <c r="B8">
        <v>4386</v>
      </c>
      <c r="C8">
        <v>1011.587</v>
      </c>
      <c r="D8">
        <v>232.68770000000001</v>
      </c>
      <c r="E8">
        <v>3.301183</v>
      </c>
      <c r="F8">
        <v>1.4187182E-2</v>
      </c>
      <c r="G8">
        <v>778.89940000000001</v>
      </c>
      <c r="H8">
        <v>-6.4927229999999998</v>
      </c>
      <c r="I8">
        <v>-8.3357654999999999E-3</v>
      </c>
      <c r="J8">
        <v>-3.1915399999999998</v>
      </c>
      <c r="K8">
        <v>-3.1549844000000001E-3</v>
      </c>
      <c r="L8">
        <v>954.49419999999998</v>
      </c>
      <c r="M8">
        <v>2.1844125999999998E-2</v>
      </c>
      <c r="N8">
        <v>5.2798408999999999E-3</v>
      </c>
      <c r="O8">
        <v>57.092059999999996</v>
      </c>
      <c r="P8">
        <v>-1.0765393E-2</v>
      </c>
      <c r="Q8">
        <v>-2.6153978E-3</v>
      </c>
      <c r="R8">
        <v>-0.61461849999999996</v>
      </c>
      <c r="S8">
        <v>20.850090000000002</v>
      </c>
    </row>
    <row r="9" spans="1:19">
      <c r="A9" t="s">
        <v>6</v>
      </c>
      <c r="B9">
        <v>4386</v>
      </c>
      <c r="C9">
        <v>1018.172</v>
      </c>
      <c r="D9">
        <v>246.506</v>
      </c>
      <c r="E9">
        <v>3.699678</v>
      </c>
      <c r="F9">
        <v>1.5008469999999999E-2</v>
      </c>
      <c r="G9">
        <v>771.66790000000003</v>
      </c>
      <c r="H9">
        <v>-5.9826280000000001</v>
      </c>
      <c r="I9">
        <v>-7.7528533999999998E-3</v>
      </c>
      <c r="J9">
        <v>-2.28295</v>
      </c>
      <c r="K9">
        <v>-2.2422042999999999E-3</v>
      </c>
      <c r="L9">
        <v>961.98829999999998</v>
      </c>
      <c r="M9">
        <v>2.1776145E-2</v>
      </c>
      <c r="N9">
        <v>5.2673872999999998E-3</v>
      </c>
      <c r="O9">
        <v>56.184040000000003</v>
      </c>
      <c r="P9">
        <v>-1.0401545E-2</v>
      </c>
      <c r="Q9">
        <v>-2.5298737E-3</v>
      </c>
      <c r="R9">
        <v>-0.58440080000000005</v>
      </c>
      <c r="S9">
        <v>20.948399999999999</v>
      </c>
    </row>
  </sheetData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2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852.3374</v>
      </c>
      <c r="D2">
        <v>218.79169999999999</v>
      </c>
      <c r="E2">
        <v>3.4391449999999999</v>
      </c>
      <c r="F2">
        <v>1.5718807000000001E-2</v>
      </c>
      <c r="G2">
        <v>633.54110000000003</v>
      </c>
      <c r="H2">
        <v>-5.1580199999999996</v>
      </c>
      <c r="I2">
        <v>-8.1415716999999992E-3</v>
      </c>
      <c r="J2">
        <v>-1.7188749999999999</v>
      </c>
      <c r="K2">
        <v>-2.0166597999999999E-3</v>
      </c>
      <c r="L2">
        <v>810.93010000000004</v>
      </c>
      <c r="M2">
        <v>2.1887481E-2</v>
      </c>
      <c r="N2">
        <v>5.2621452999999999E-3</v>
      </c>
      <c r="O2">
        <v>41.407020000000003</v>
      </c>
      <c r="P2">
        <v>-9.8533639999999999E-3</v>
      </c>
      <c r="Q2">
        <v>-2.372084E-3</v>
      </c>
      <c r="R2">
        <v>-0.40799839999999998</v>
      </c>
      <c r="S2">
        <v>17.749220000000001</v>
      </c>
    </row>
    <row r="3" spans="1:19">
      <c r="A3" t="s">
        <v>1</v>
      </c>
      <c r="B3">
        <v>4368</v>
      </c>
      <c r="C3">
        <v>852.7876</v>
      </c>
      <c r="D3">
        <v>214.7868</v>
      </c>
      <c r="E3">
        <v>3.3509669999999998</v>
      </c>
      <c r="F3">
        <v>1.5601367999999999E-2</v>
      </c>
      <c r="G3">
        <v>637.99580000000003</v>
      </c>
      <c r="H3">
        <v>-5.1735239999999996</v>
      </c>
      <c r="I3">
        <v>-8.1090247000000001E-3</v>
      </c>
      <c r="J3">
        <v>-1.822557</v>
      </c>
      <c r="K3">
        <v>-2.1371755E-3</v>
      </c>
      <c r="L3">
        <v>810.92439999999999</v>
      </c>
      <c r="M3">
        <v>2.1803093999999999E-2</v>
      </c>
      <c r="N3">
        <v>5.2449302999999997E-3</v>
      </c>
      <c r="O3">
        <v>41.863030000000002</v>
      </c>
      <c r="P3">
        <v>-9.7381072000000003E-3</v>
      </c>
      <c r="Q3">
        <v>-2.3429118999999999E-3</v>
      </c>
      <c r="R3">
        <v>-0.40766669999999999</v>
      </c>
      <c r="S3">
        <v>17.68066</v>
      </c>
    </row>
    <row r="4" spans="1:19">
      <c r="A4" t="s">
        <v>2</v>
      </c>
      <c r="B4">
        <v>4368</v>
      </c>
      <c r="C4">
        <v>863.22709999999995</v>
      </c>
      <c r="D4">
        <v>209.07939999999999</v>
      </c>
      <c r="E4">
        <v>2.935333</v>
      </c>
      <c r="F4">
        <v>1.4039326E-2</v>
      </c>
      <c r="G4">
        <v>654.14509999999996</v>
      </c>
      <c r="H4">
        <v>-5.3807720000000003</v>
      </c>
      <c r="I4">
        <v>-8.2256542999999994E-3</v>
      </c>
      <c r="J4">
        <v>-2.4454379999999998</v>
      </c>
      <c r="K4">
        <v>-2.8329027999999998E-3</v>
      </c>
      <c r="L4">
        <v>823.13900000000001</v>
      </c>
      <c r="M4">
        <v>2.1811863000000001E-2</v>
      </c>
      <c r="N4">
        <v>5.2482300000000004E-3</v>
      </c>
      <c r="O4">
        <v>40.088030000000003</v>
      </c>
      <c r="P4">
        <v>-9.4608738999999997E-3</v>
      </c>
      <c r="Q4">
        <v>-2.2847457000000002E-3</v>
      </c>
      <c r="R4">
        <v>-0.37926779999999999</v>
      </c>
      <c r="S4">
        <v>17.9542</v>
      </c>
    </row>
    <row r="5" spans="1:19">
      <c r="A5" t="s">
        <v>3</v>
      </c>
      <c r="B5">
        <v>4376</v>
      </c>
      <c r="C5">
        <v>856.55629999999996</v>
      </c>
      <c r="D5">
        <v>214.84200000000001</v>
      </c>
      <c r="E5">
        <v>3.400461</v>
      </c>
      <c r="F5">
        <v>1.5827727999999999E-2</v>
      </c>
      <c r="G5">
        <v>641.7106</v>
      </c>
      <c r="H5">
        <v>-5.2809929999999996</v>
      </c>
      <c r="I5">
        <v>-8.2295556000000006E-3</v>
      </c>
      <c r="J5">
        <v>-1.880531</v>
      </c>
      <c r="K5">
        <v>-2.1954556E-3</v>
      </c>
      <c r="L5">
        <v>817.31269999999995</v>
      </c>
      <c r="M5">
        <v>2.2124623999999999E-2</v>
      </c>
      <c r="N5">
        <v>5.3200163E-3</v>
      </c>
      <c r="O5">
        <v>39.243020000000001</v>
      </c>
      <c r="P5">
        <v>-9.7413919999999998E-3</v>
      </c>
      <c r="Q5">
        <v>-2.3452860999999998E-3</v>
      </c>
      <c r="R5">
        <v>-0.3822816</v>
      </c>
      <c r="S5">
        <v>18.082740000000001</v>
      </c>
    </row>
    <row r="6" spans="1:19">
      <c r="A6" t="s">
        <v>4</v>
      </c>
      <c r="B6">
        <v>4382</v>
      </c>
      <c r="C6">
        <v>861.74260000000004</v>
      </c>
      <c r="D6">
        <v>211.13</v>
      </c>
      <c r="E6">
        <v>3.1099969999999999</v>
      </c>
      <c r="F6">
        <v>1.4730247E-2</v>
      </c>
      <c r="G6">
        <v>650.6087</v>
      </c>
      <c r="H6">
        <v>-4.9976649999999996</v>
      </c>
      <c r="I6">
        <v>-7.6815225000000003E-3</v>
      </c>
      <c r="J6">
        <v>-1.8876679999999999</v>
      </c>
      <c r="K6">
        <v>-2.1905244999999999E-3</v>
      </c>
      <c r="L6">
        <v>816.04060000000004</v>
      </c>
      <c r="M6">
        <v>2.1745774999999998E-2</v>
      </c>
      <c r="N6">
        <v>5.2330982999999999E-3</v>
      </c>
      <c r="O6">
        <v>45.701030000000003</v>
      </c>
      <c r="P6">
        <v>-9.4471591999999993E-3</v>
      </c>
      <c r="Q6">
        <v>-2.2843647999999999E-3</v>
      </c>
      <c r="R6">
        <v>-0.43174489999999999</v>
      </c>
      <c r="S6">
        <v>17.745439999999999</v>
      </c>
    </row>
    <row r="7" spans="1:19">
      <c r="A7" t="s">
        <v>42</v>
      </c>
      <c r="B7">
        <v>4382</v>
      </c>
      <c r="C7">
        <v>853.62630000000001</v>
      </c>
      <c r="D7">
        <v>214.36500000000001</v>
      </c>
      <c r="E7">
        <v>3.312897</v>
      </c>
      <c r="F7">
        <v>1.5454466E-2</v>
      </c>
      <c r="G7">
        <v>639.25900000000001</v>
      </c>
      <c r="H7">
        <v>-5.2393530000000004</v>
      </c>
      <c r="I7">
        <v>-8.1959777000000008E-3</v>
      </c>
      <c r="J7">
        <v>-1.9264559999999999</v>
      </c>
      <c r="K7">
        <v>-2.2567909000000001E-3</v>
      </c>
      <c r="L7">
        <v>807.95389999999998</v>
      </c>
      <c r="M7">
        <v>2.2170855E-2</v>
      </c>
      <c r="N7">
        <v>5.3280871E-3</v>
      </c>
      <c r="O7">
        <v>45.672029999999999</v>
      </c>
      <c r="P7">
        <v>-9.4562927000000005E-3</v>
      </c>
      <c r="Q7">
        <v>-2.2730951000000002E-3</v>
      </c>
      <c r="R7">
        <v>-0.43188799999999999</v>
      </c>
      <c r="S7">
        <v>17.913029999999999</v>
      </c>
    </row>
    <row r="8" spans="1:19">
      <c r="A8" t="s">
        <v>5</v>
      </c>
      <c r="B8">
        <v>4386</v>
      </c>
      <c r="C8">
        <v>849.30579999999998</v>
      </c>
      <c r="D8">
        <v>198.7473</v>
      </c>
      <c r="E8">
        <v>2.8337180000000002</v>
      </c>
      <c r="F8">
        <v>1.4257896000000001E-2</v>
      </c>
      <c r="G8">
        <v>650.5548</v>
      </c>
      <c r="H8">
        <v>-5.4222900000000003</v>
      </c>
      <c r="I8">
        <v>-8.3348704999999992E-3</v>
      </c>
      <c r="J8">
        <v>-2.5885720000000001</v>
      </c>
      <c r="K8">
        <v>-3.0478681000000001E-3</v>
      </c>
      <c r="L8">
        <v>804.13900000000001</v>
      </c>
      <c r="M8">
        <v>2.1843234E-2</v>
      </c>
      <c r="N8">
        <v>5.2495505999999997E-3</v>
      </c>
      <c r="O8">
        <v>45.16601</v>
      </c>
      <c r="P8">
        <v>-1.0415914E-2</v>
      </c>
      <c r="Q8">
        <v>-2.5157501999999998E-3</v>
      </c>
      <c r="R8">
        <v>-0.47044530000000001</v>
      </c>
      <c r="S8">
        <v>17.565000000000001</v>
      </c>
    </row>
    <row r="9" spans="1:19">
      <c r="A9" t="s">
        <v>6</v>
      </c>
      <c r="B9">
        <v>4386</v>
      </c>
      <c r="C9">
        <v>862.80849999999998</v>
      </c>
      <c r="D9">
        <v>213.72890000000001</v>
      </c>
      <c r="E9">
        <v>3.200628</v>
      </c>
      <c r="F9">
        <v>1.4975172E-2</v>
      </c>
      <c r="G9">
        <v>649.07479999999998</v>
      </c>
      <c r="H9">
        <v>-4.955921</v>
      </c>
      <c r="I9">
        <v>-7.6353610000000002E-3</v>
      </c>
      <c r="J9">
        <v>-1.755293</v>
      </c>
      <c r="K9">
        <v>-2.0343944999999999E-3</v>
      </c>
      <c r="L9">
        <v>817.34889999999996</v>
      </c>
      <c r="M9">
        <v>2.1641657000000002E-2</v>
      </c>
      <c r="N9">
        <v>5.2041146000000003E-3</v>
      </c>
      <c r="O9">
        <v>45.459020000000002</v>
      </c>
      <c r="P9">
        <v>-1.0474529999999999E-2</v>
      </c>
      <c r="Q9">
        <v>-2.532776E-3</v>
      </c>
      <c r="R9">
        <v>-0.47616190000000003</v>
      </c>
      <c r="S9">
        <v>17.688790000000001</v>
      </c>
    </row>
  </sheetData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83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734.41079999999999</v>
      </c>
      <c r="D2">
        <v>192.0343</v>
      </c>
      <c r="E2">
        <v>3.0543619999999998</v>
      </c>
      <c r="F2">
        <v>1.5905290999999998E-2</v>
      </c>
      <c r="G2">
        <v>542.38120000000004</v>
      </c>
      <c r="H2">
        <v>-4.3839389999999998</v>
      </c>
      <c r="I2">
        <v>-8.0827633000000003E-3</v>
      </c>
      <c r="J2">
        <v>-1.329577</v>
      </c>
      <c r="K2">
        <v>-1.8104003000000001E-3</v>
      </c>
      <c r="L2">
        <v>701.06870000000004</v>
      </c>
      <c r="M2">
        <v>2.2137521E-2</v>
      </c>
      <c r="N2">
        <v>5.2987108999999998E-3</v>
      </c>
      <c r="O2">
        <v>33.34299</v>
      </c>
      <c r="P2">
        <v>-9.4079356999999999E-3</v>
      </c>
      <c r="Q2">
        <v>-2.2567533999999999E-3</v>
      </c>
      <c r="R2">
        <v>-0.31368869999999999</v>
      </c>
      <c r="S2">
        <v>15.519920000000001</v>
      </c>
    </row>
    <row r="3" spans="1:19">
      <c r="A3" t="s">
        <v>1</v>
      </c>
      <c r="B3">
        <v>4368</v>
      </c>
      <c r="C3">
        <v>739.55849999999998</v>
      </c>
      <c r="D3">
        <v>188.3391</v>
      </c>
      <c r="E3">
        <v>2.9507829999999999</v>
      </c>
      <c r="F3">
        <v>1.5667397999999999E-2</v>
      </c>
      <c r="G3">
        <v>551.22389999999996</v>
      </c>
      <c r="H3">
        <v>-4.4453370000000003</v>
      </c>
      <c r="I3">
        <v>-8.0644841999999994E-3</v>
      </c>
      <c r="J3">
        <v>-1.4945539999999999</v>
      </c>
      <c r="K3">
        <v>-2.0208730999999999E-3</v>
      </c>
      <c r="L3">
        <v>705.07569999999998</v>
      </c>
      <c r="M3">
        <v>2.2112054999999999E-2</v>
      </c>
      <c r="N3">
        <v>5.2975443999999997E-3</v>
      </c>
      <c r="O3">
        <v>34.482990000000001</v>
      </c>
      <c r="P3">
        <v>-9.7945640000000004E-3</v>
      </c>
      <c r="Q3">
        <v>-2.345457E-3</v>
      </c>
      <c r="R3">
        <v>-0.33774579999999998</v>
      </c>
      <c r="S3">
        <v>15.590669999999999</v>
      </c>
    </row>
    <row r="4" spans="1:19">
      <c r="A4" t="s">
        <v>2</v>
      </c>
      <c r="B4">
        <v>4368</v>
      </c>
      <c r="C4">
        <v>743.67409999999995</v>
      </c>
      <c r="D4">
        <v>183.54669999999999</v>
      </c>
      <c r="E4">
        <v>2.6078359999999998</v>
      </c>
      <c r="F4">
        <v>1.4208024E-2</v>
      </c>
      <c r="G4">
        <v>560.12869999999998</v>
      </c>
      <c r="H4">
        <v>-4.5324049999999998</v>
      </c>
      <c r="I4">
        <v>-8.0917197999999992E-3</v>
      </c>
      <c r="J4">
        <v>-1.924569</v>
      </c>
      <c r="K4">
        <v>-2.5879195999999999E-3</v>
      </c>
      <c r="L4">
        <v>711.96860000000004</v>
      </c>
      <c r="M4">
        <v>2.2019871999999999E-2</v>
      </c>
      <c r="N4">
        <v>5.275053E-3</v>
      </c>
      <c r="O4">
        <v>31.704989999999999</v>
      </c>
      <c r="P4">
        <v>-9.2913071E-3</v>
      </c>
      <c r="Q4">
        <v>-2.2316725999999999E-3</v>
      </c>
      <c r="R4">
        <v>-0.29458079999999998</v>
      </c>
      <c r="S4">
        <v>15.67746</v>
      </c>
    </row>
    <row r="5" spans="1:19">
      <c r="A5" t="s">
        <v>3</v>
      </c>
      <c r="B5">
        <v>4376</v>
      </c>
      <c r="C5">
        <v>739.50519999999995</v>
      </c>
      <c r="D5">
        <v>189.9641</v>
      </c>
      <c r="E5">
        <v>3.0406580000000001</v>
      </c>
      <c r="F5">
        <v>1.6006490000000002E-2</v>
      </c>
      <c r="G5">
        <v>549.5462</v>
      </c>
      <c r="H5">
        <v>-4.5026279999999996</v>
      </c>
      <c r="I5">
        <v>-8.1933560000000006E-3</v>
      </c>
      <c r="J5">
        <v>-1.46197</v>
      </c>
      <c r="K5">
        <v>-1.9769568E-3</v>
      </c>
      <c r="L5">
        <v>706.93020000000001</v>
      </c>
      <c r="M5">
        <v>2.2327290999999999E-2</v>
      </c>
      <c r="N5">
        <v>5.3450171999999997E-3</v>
      </c>
      <c r="O5">
        <v>32.575989999999997</v>
      </c>
      <c r="P5">
        <v>-9.5618768000000007E-3</v>
      </c>
      <c r="Q5">
        <v>-2.2903499E-3</v>
      </c>
      <c r="R5">
        <v>-0.31148759999999998</v>
      </c>
      <c r="S5">
        <v>15.78384</v>
      </c>
    </row>
    <row r="6" spans="1:19">
      <c r="A6" t="s">
        <v>4</v>
      </c>
      <c r="B6">
        <v>4382</v>
      </c>
      <c r="C6">
        <v>745.37940000000003</v>
      </c>
      <c r="D6">
        <v>182.28190000000001</v>
      </c>
      <c r="E6">
        <v>2.6971579999999999</v>
      </c>
      <c r="F6">
        <v>1.479663E-2</v>
      </c>
      <c r="G6">
        <v>563.1019</v>
      </c>
      <c r="H6">
        <v>-4.328665</v>
      </c>
      <c r="I6">
        <v>-7.6871780000000002E-3</v>
      </c>
      <c r="J6">
        <v>-1.631507</v>
      </c>
      <c r="K6">
        <v>-2.1888277999999998E-3</v>
      </c>
      <c r="L6">
        <v>708.35590000000002</v>
      </c>
      <c r="M6">
        <v>2.1971125000000001E-2</v>
      </c>
      <c r="N6">
        <v>5.2614519000000002E-3</v>
      </c>
      <c r="O6">
        <v>37.023980000000002</v>
      </c>
      <c r="P6">
        <v>-9.1001503000000001E-3</v>
      </c>
      <c r="Q6">
        <v>-2.1878168999999999E-3</v>
      </c>
      <c r="R6">
        <v>-0.3369238</v>
      </c>
      <c r="S6">
        <v>15.56338</v>
      </c>
    </row>
    <row r="7" spans="1:19">
      <c r="A7" t="s">
        <v>42</v>
      </c>
      <c r="B7">
        <v>4382</v>
      </c>
      <c r="C7">
        <v>739.49900000000002</v>
      </c>
      <c r="D7">
        <v>188.56219999999999</v>
      </c>
      <c r="E7">
        <v>2.9762369999999998</v>
      </c>
      <c r="F7">
        <v>1.5783848E-2</v>
      </c>
      <c r="G7">
        <v>550.94169999999997</v>
      </c>
      <c r="H7">
        <v>-4.454771</v>
      </c>
      <c r="I7">
        <v>-8.0857398E-3</v>
      </c>
      <c r="J7">
        <v>-1.478534</v>
      </c>
      <c r="K7">
        <v>-1.9993728E-3</v>
      </c>
      <c r="L7">
        <v>702.42809999999997</v>
      </c>
      <c r="M7">
        <v>2.2365268000000001E-2</v>
      </c>
      <c r="N7">
        <v>5.3508147000000004E-3</v>
      </c>
      <c r="O7">
        <v>37.07199</v>
      </c>
      <c r="P7">
        <v>-9.1527533000000001E-3</v>
      </c>
      <c r="Q7">
        <v>-2.1891017E-3</v>
      </c>
      <c r="R7">
        <v>-0.33931080000000002</v>
      </c>
      <c r="S7">
        <v>15.709989999999999</v>
      </c>
    </row>
    <row r="8" spans="1:19">
      <c r="A8" t="s">
        <v>5</v>
      </c>
      <c r="B8">
        <v>4386</v>
      </c>
      <c r="C8">
        <v>741.64200000000005</v>
      </c>
      <c r="D8">
        <v>176.10069999999999</v>
      </c>
      <c r="E8">
        <v>2.4861369999999998</v>
      </c>
      <c r="F8">
        <v>1.4117704999999999E-2</v>
      </c>
      <c r="G8">
        <v>565.54369999999994</v>
      </c>
      <c r="H8">
        <v>-4.6406720000000004</v>
      </c>
      <c r="I8">
        <v>-8.2056830000000001E-3</v>
      </c>
      <c r="J8">
        <v>-2.1545350000000001</v>
      </c>
      <c r="K8">
        <v>-2.9050874999999999E-3</v>
      </c>
      <c r="L8">
        <v>700.9982</v>
      </c>
      <c r="M8">
        <v>2.2117568000000001E-2</v>
      </c>
      <c r="N8">
        <v>5.2934028000000003E-3</v>
      </c>
      <c r="O8">
        <v>40.64499</v>
      </c>
      <c r="P8">
        <v>-1.0224864E-2</v>
      </c>
      <c r="Q8">
        <v>-2.4591094999999999E-3</v>
      </c>
      <c r="R8">
        <v>-0.4155895</v>
      </c>
      <c r="S8">
        <v>15.504379999999999</v>
      </c>
    </row>
    <row r="9" spans="1:19">
      <c r="A9" t="s">
        <v>6</v>
      </c>
      <c r="B9">
        <v>4386</v>
      </c>
      <c r="C9">
        <v>752.91470000000004</v>
      </c>
      <c r="D9">
        <v>192.8339</v>
      </c>
      <c r="E9">
        <v>2.9098109999999999</v>
      </c>
      <c r="F9">
        <v>1.5089732E-2</v>
      </c>
      <c r="G9">
        <v>560.08500000000004</v>
      </c>
      <c r="H9">
        <v>-4.2675890000000001</v>
      </c>
      <c r="I9">
        <v>-7.6195378999999999E-3</v>
      </c>
      <c r="J9">
        <v>-1.3577779999999999</v>
      </c>
      <c r="K9">
        <v>-1.8033617999999999E-3</v>
      </c>
      <c r="L9">
        <v>713.49919999999997</v>
      </c>
      <c r="M9">
        <v>2.2034914999999999E-2</v>
      </c>
      <c r="N9">
        <v>5.2722651000000004E-3</v>
      </c>
      <c r="O9">
        <v>39.417000000000002</v>
      </c>
      <c r="P9">
        <v>-1.0292249999999999E-2</v>
      </c>
      <c r="Q9">
        <v>-2.4737172999999999E-3</v>
      </c>
      <c r="R9">
        <v>-0.40568959999999998</v>
      </c>
      <c r="S9">
        <v>15.72189</v>
      </c>
    </row>
  </sheetData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84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650.2079</v>
      </c>
      <c r="D2">
        <v>172.2304</v>
      </c>
      <c r="E2">
        <v>2.7177470000000001</v>
      </c>
      <c r="F2">
        <v>1.5779710999999998E-2</v>
      </c>
      <c r="G2">
        <v>477.97859999999997</v>
      </c>
      <c r="H2">
        <v>-3.8883740000000002</v>
      </c>
      <c r="I2">
        <v>-8.1350384000000008E-3</v>
      </c>
      <c r="J2">
        <v>-1.1706270000000001</v>
      </c>
      <c r="K2">
        <v>-1.8003894E-3</v>
      </c>
      <c r="L2">
        <v>621.52319999999997</v>
      </c>
      <c r="M2">
        <v>2.1801437999999999E-2</v>
      </c>
      <c r="N2">
        <v>5.1995777000000002E-3</v>
      </c>
      <c r="O2">
        <v>28.685009999999998</v>
      </c>
      <c r="P2">
        <v>-9.0945269999999998E-3</v>
      </c>
      <c r="Q2">
        <v>-2.1739716E-3</v>
      </c>
      <c r="R2">
        <v>-0.26087660000000001</v>
      </c>
      <c r="S2">
        <v>13.5501</v>
      </c>
    </row>
    <row r="3" spans="1:19">
      <c r="A3" t="s">
        <v>1</v>
      </c>
      <c r="B3">
        <v>4368</v>
      </c>
      <c r="C3">
        <v>652.65329999999994</v>
      </c>
      <c r="D3">
        <v>168.73560000000001</v>
      </c>
      <c r="E3">
        <v>2.6708349999999998</v>
      </c>
      <c r="F3">
        <v>1.5828522000000001E-2</v>
      </c>
      <c r="G3">
        <v>483.91930000000002</v>
      </c>
      <c r="H3">
        <v>-3.8485140000000002</v>
      </c>
      <c r="I3">
        <v>-7.9528010000000007E-3</v>
      </c>
      <c r="J3">
        <v>-1.1776789999999999</v>
      </c>
      <c r="K3">
        <v>-1.8044476E-3</v>
      </c>
      <c r="L3">
        <v>621.83280000000002</v>
      </c>
      <c r="M3">
        <v>2.1599894000000001E-2</v>
      </c>
      <c r="N3">
        <v>5.1560546000000004E-3</v>
      </c>
      <c r="O3">
        <v>30.821020000000001</v>
      </c>
      <c r="P3">
        <v>-9.2137800999999991E-3</v>
      </c>
      <c r="Q3">
        <v>-2.2013807E-3</v>
      </c>
      <c r="R3">
        <v>-0.28397810000000001</v>
      </c>
      <c r="S3">
        <v>13.431520000000001</v>
      </c>
    </row>
    <row r="4" spans="1:19">
      <c r="A4" t="s">
        <v>2</v>
      </c>
      <c r="B4">
        <v>4368</v>
      </c>
      <c r="C4">
        <v>648.11670000000004</v>
      </c>
      <c r="D4">
        <v>161.16380000000001</v>
      </c>
      <c r="E4">
        <v>2.286816</v>
      </c>
      <c r="F4">
        <v>1.4189386E-2</v>
      </c>
      <c r="G4">
        <v>486.95479999999998</v>
      </c>
      <c r="H4">
        <v>-3.9084989999999999</v>
      </c>
      <c r="I4">
        <v>-8.0264107999999997E-3</v>
      </c>
      <c r="J4">
        <v>-1.6216839999999999</v>
      </c>
      <c r="K4">
        <v>-2.5021475999999999E-3</v>
      </c>
      <c r="L4">
        <v>620.1318</v>
      </c>
      <c r="M4">
        <v>2.1634666E-2</v>
      </c>
      <c r="N4">
        <v>5.1660938000000003E-3</v>
      </c>
      <c r="O4">
        <v>27.985019999999999</v>
      </c>
      <c r="P4">
        <v>-8.9567312999999996E-3</v>
      </c>
      <c r="Q4">
        <v>-2.1423445999999998E-3</v>
      </c>
      <c r="R4">
        <v>-0.2506543</v>
      </c>
      <c r="S4">
        <v>13.41635</v>
      </c>
    </row>
    <row r="5" spans="1:19">
      <c r="A5" t="s">
        <v>3</v>
      </c>
      <c r="B5">
        <v>4376</v>
      </c>
      <c r="C5">
        <v>649.24869999999999</v>
      </c>
      <c r="D5">
        <v>170.30459999999999</v>
      </c>
      <c r="E5">
        <v>2.6787830000000001</v>
      </c>
      <c r="F5">
        <v>1.5729370999999999E-2</v>
      </c>
      <c r="G5">
        <v>478.94510000000002</v>
      </c>
      <c r="H5">
        <v>-3.9047589999999999</v>
      </c>
      <c r="I5">
        <v>-8.1528322999999993E-3</v>
      </c>
      <c r="J5">
        <v>-1.225975</v>
      </c>
      <c r="K5">
        <v>-1.8882985E-3</v>
      </c>
      <c r="L5">
        <v>621.81489999999997</v>
      </c>
      <c r="M5">
        <v>2.1785615000000001E-2</v>
      </c>
      <c r="N5">
        <v>5.1962490999999996E-3</v>
      </c>
      <c r="O5">
        <v>27.434010000000001</v>
      </c>
      <c r="P5">
        <v>-9.1988081000000006E-3</v>
      </c>
      <c r="Q5">
        <v>-2.1944366999999999E-3</v>
      </c>
      <c r="R5">
        <v>-0.25236019999999998</v>
      </c>
      <c r="S5">
        <v>13.546620000000001</v>
      </c>
    </row>
    <row r="6" spans="1:19">
      <c r="A6" t="s">
        <v>4</v>
      </c>
      <c r="B6">
        <v>4382</v>
      </c>
      <c r="C6">
        <v>655.54039999999998</v>
      </c>
      <c r="D6">
        <v>162.5299</v>
      </c>
      <c r="E6">
        <v>2.382104</v>
      </c>
      <c r="F6">
        <v>1.4656404E-2</v>
      </c>
      <c r="G6">
        <v>493.01350000000002</v>
      </c>
      <c r="H6">
        <v>-3.7798799999999999</v>
      </c>
      <c r="I6">
        <v>-7.6668891000000001E-3</v>
      </c>
      <c r="J6">
        <v>-1.3977759999999999</v>
      </c>
      <c r="K6">
        <v>-2.1322502000000001E-3</v>
      </c>
      <c r="L6">
        <v>623.71190000000001</v>
      </c>
      <c r="M6">
        <v>2.1482002E-2</v>
      </c>
      <c r="N6">
        <v>5.1237395999999998E-3</v>
      </c>
      <c r="O6">
        <v>31.829029999999999</v>
      </c>
      <c r="P6">
        <v>-9.0403798999999993E-3</v>
      </c>
      <c r="Q6">
        <v>-2.1635081999999998E-3</v>
      </c>
      <c r="R6">
        <v>-0.28774660000000002</v>
      </c>
      <c r="S6">
        <v>13.398580000000001</v>
      </c>
    </row>
    <row r="7" spans="1:19">
      <c r="A7" t="s">
        <v>42</v>
      </c>
      <c r="B7">
        <v>4382</v>
      </c>
      <c r="C7">
        <v>647.83969999999999</v>
      </c>
      <c r="D7">
        <v>170.20949999999999</v>
      </c>
      <c r="E7">
        <v>2.6986789999999998</v>
      </c>
      <c r="F7">
        <v>1.5855042E-2</v>
      </c>
      <c r="G7">
        <v>477.63080000000002</v>
      </c>
      <c r="H7">
        <v>-3.8792990000000001</v>
      </c>
      <c r="I7">
        <v>-8.1219627000000006E-3</v>
      </c>
      <c r="J7">
        <v>-1.1806209999999999</v>
      </c>
      <c r="K7">
        <v>-1.8223962000000001E-3</v>
      </c>
      <c r="L7">
        <v>616.61220000000003</v>
      </c>
      <c r="M7">
        <v>2.1864932E-2</v>
      </c>
      <c r="N7">
        <v>5.2094995E-3</v>
      </c>
      <c r="O7">
        <v>31.22702</v>
      </c>
      <c r="P7">
        <v>-8.8247042000000001E-3</v>
      </c>
      <c r="Q7">
        <v>-2.1035816E-3</v>
      </c>
      <c r="R7">
        <v>-0.27556920000000001</v>
      </c>
      <c r="S7">
        <v>13.48218</v>
      </c>
    </row>
    <row r="8" spans="1:19">
      <c r="A8" t="s">
        <v>5</v>
      </c>
      <c r="B8">
        <v>4386</v>
      </c>
      <c r="C8">
        <v>647.70860000000005</v>
      </c>
      <c r="D8">
        <v>155.71279999999999</v>
      </c>
      <c r="E8">
        <v>2.2005180000000002</v>
      </c>
      <c r="F8">
        <v>1.4131902E-2</v>
      </c>
      <c r="G8">
        <v>491.99849999999998</v>
      </c>
      <c r="H8">
        <v>-4.0074389999999998</v>
      </c>
      <c r="I8">
        <v>-8.1452270999999993E-3</v>
      </c>
      <c r="J8">
        <v>-1.806921</v>
      </c>
      <c r="K8">
        <v>-2.7897124999999999E-3</v>
      </c>
      <c r="L8">
        <v>615.40509999999995</v>
      </c>
      <c r="M8">
        <v>2.1648113E-2</v>
      </c>
      <c r="N8">
        <v>5.1617045000000002E-3</v>
      </c>
      <c r="O8">
        <v>32.304029999999997</v>
      </c>
      <c r="P8">
        <v>-9.8568816000000007E-3</v>
      </c>
      <c r="Q8">
        <v>-2.3586443000000001E-3</v>
      </c>
      <c r="R8">
        <v>-0.31841700000000001</v>
      </c>
      <c r="S8">
        <v>13.32236</v>
      </c>
    </row>
    <row r="9" spans="1:19">
      <c r="A9" t="s">
        <v>6</v>
      </c>
      <c r="B9">
        <v>4386</v>
      </c>
      <c r="C9">
        <v>657.61479999999995</v>
      </c>
      <c r="D9">
        <v>173.9958</v>
      </c>
      <c r="E9">
        <v>2.6503040000000002</v>
      </c>
      <c r="F9">
        <v>1.5231995999999999E-2</v>
      </c>
      <c r="G9">
        <v>483.62240000000003</v>
      </c>
      <c r="H9">
        <v>-3.6744219999999999</v>
      </c>
      <c r="I9">
        <v>-7.5977081000000004E-3</v>
      </c>
      <c r="J9">
        <v>-1.0241180000000001</v>
      </c>
      <c r="K9">
        <v>-1.5573221999999999E-3</v>
      </c>
      <c r="L9">
        <v>626.5915</v>
      </c>
      <c r="M9">
        <v>2.1627277E-2</v>
      </c>
      <c r="N9">
        <v>5.1546092000000002E-3</v>
      </c>
      <c r="O9">
        <v>31.02403</v>
      </c>
      <c r="P9">
        <v>-9.6146063999999996E-3</v>
      </c>
      <c r="Q9">
        <v>-2.2944910000000001E-3</v>
      </c>
      <c r="R9">
        <v>-0.29828379999999999</v>
      </c>
      <c r="S9">
        <v>13.55147</v>
      </c>
    </row>
  </sheetData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5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582.94770000000005</v>
      </c>
      <c r="D2">
        <v>154.79490000000001</v>
      </c>
      <c r="E2">
        <v>2.4193989999999999</v>
      </c>
      <c r="F2">
        <v>1.5629711000000001E-2</v>
      </c>
      <c r="G2">
        <v>428.15269999999998</v>
      </c>
      <c r="H2">
        <v>-3.487778</v>
      </c>
      <c r="I2">
        <v>-8.1461072000000006E-3</v>
      </c>
      <c r="J2">
        <v>-1.068379</v>
      </c>
      <c r="K2">
        <v>-1.8327192000000001E-3</v>
      </c>
      <c r="L2">
        <v>556.97270000000003</v>
      </c>
      <c r="M2">
        <v>2.3576929999999999E-2</v>
      </c>
      <c r="N2">
        <v>5.6046550000000001E-3</v>
      </c>
      <c r="O2">
        <v>25.975020000000001</v>
      </c>
      <c r="P2">
        <v>-9.7359036999999995E-3</v>
      </c>
      <c r="Q2">
        <v>-2.320094E-3</v>
      </c>
      <c r="R2">
        <v>-0.25289030000000001</v>
      </c>
      <c r="S2">
        <v>13.13171</v>
      </c>
    </row>
    <row r="3" spans="1:19">
      <c r="A3" t="s">
        <v>1</v>
      </c>
      <c r="B3">
        <v>4368</v>
      </c>
      <c r="C3">
        <v>580.79819999999995</v>
      </c>
      <c r="D3">
        <v>151.35390000000001</v>
      </c>
      <c r="E3">
        <v>2.430415</v>
      </c>
      <c r="F3">
        <v>1.6057827E-2</v>
      </c>
      <c r="G3">
        <v>429.44380000000001</v>
      </c>
      <c r="H3">
        <v>-3.422946</v>
      </c>
      <c r="I3">
        <v>-7.9706488000000006E-3</v>
      </c>
      <c r="J3">
        <v>-0.9925311</v>
      </c>
      <c r="K3">
        <v>-1.7089087999999999E-3</v>
      </c>
      <c r="L3">
        <v>553.64390000000003</v>
      </c>
      <c r="M3">
        <v>2.3266810999999998E-2</v>
      </c>
      <c r="N3">
        <v>5.5356807999999997E-3</v>
      </c>
      <c r="O3">
        <v>27.154019999999999</v>
      </c>
      <c r="P3">
        <v>-9.9079404000000006E-3</v>
      </c>
      <c r="Q3">
        <v>-2.3600038000000001E-3</v>
      </c>
      <c r="R3">
        <v>-0.26904040000000001</v>
      </c>
      <c r="S3">
        <v>12.88153</v>
      </c>
    </row>
    <row r="4" spans="1:19">
      <c r="A4" t="s">
        <v>2</v>
      </c>
      <c r="B4">
        <v>4368</v>
      </c>
      <c r="C4">
        <v>573.34090000000003</v>
      </c>
      <c r="D4">
        <v>145.517</v>
      </c>
      <c r="E4">
        <v>2.0972789999999999</v>
      </c>
      <c r="F4">
        <v>1.4412603E-2</v>
      </c>
      <c r="G4">
        <v>427.82459999999998</v>
      </c>
      <c r="H4">
        <v>-3.3902519999999998</v>
      </c>
      <c r="I4">
        <v>-7.9243983999999993E-3</v>
      </c>
      <c r="J4">
        <v>-1.2929740000000001</v>
      </c>
      <c r="K4">
        <v>-2.2551566000000001E-3</v>
      </c>
      <c r="L4">
        <v>548.03790000000004</v>
      </c>
      <c r="M4">
        <v>2.3401801E-2</v>
      </c>
      <c r="N4">
        <v>5.5736954999999998E-3</v>
      </c>
      <c r="O4">
        <v>25.30302</v>
      </c>
      <c r="P4">
        <v>-9.7689106999999994E-3</v>
      </c>
      <c r="Q4">
        <v>-2.3319141000000001E-3</v>
      </c>
      <c r="R4">
        <v>-0.24718290000000001</v>
      </c>
      <c r="S4">
        <v>12.82507</v>
      </c>
    </row>
    <row r="5" spans="1:19">
      <c r="A5" t="s">
        <v>3</v>
      </c>
      <c r="B5">
        <v>4376</v>
      </c>
      <c r="C5">
        <v>582.54790000000003</v>
      </c>
      <c r="D5">
        <v>154.32980000000001</v>
      </c>
      <c r="E5">
        <v>2.4101460000000001</v>
      </c>
      <c r="F5">
        <v>1.5616849E-2</v>
      </c>
      <c r="G5">
        <v>428.2174</v>
      </c>
      <c r="H5">
        <v>-3.4697640000000001</v>
      </c>
      <c r="I5">
        <v>-8.1028091000000003E-3</v>
      </c>
      <c r="J5">
        <v>-1.0596179999999999</v>
      </c>
      <c r="K5">
        <v>-1.8189375E-3</v>
      </c>
      <c r="L5">
        <v>556.86289999999997</v>
      </c>
      <c r="M5">
        <v>2.3384327E-2</v>
      </c>
      <c r="N5">
        <v>5.5601466000000004E-3</v>
      </c>
      <c r="O5">
        <v>25.685020000000002</v>
      </c>
      <c r="P5">
        <v>-9.8196668999999993E-3</v>
      </c>
      <c r="Q5">
        <v>-2.3353548999999999E-3</v>
      </c>
      <c r="R5">
        <v>-0.25221830000000001</v>
      </c>
      <c r="S5">
        <v>13.02186</v>
      </c>
    </row>
    <row r="6" spans="1:19">
      <c r="A6" t="s">
        <v>4</v>
      </c>
      <c r="B6">
        <v>4382</v>
      </c>
      <c r="C6">
        <v>582.69529999999997</v>
      </c>
      <c r="D6">
        <v>146.3879</v>
      </c>
      <c r="E6">
        <v>2.1553719999999998</v>
      </c>
      <c r="F6">
        <v>1.4723702E-2</v>
      </c>
      <c r="G6">
        <v>436.30810000000002</v>
      </c>
      <c r="H6">
        <v>-3.3286159999999998</v>
      </c>
      <c r="I6">
        <v>-7.6290489999999997E-3</v>
      </c>
      <c r="J6">
        <v>-1.173244</v>
      </c>
      <c r="K6">
        <v>-2.0134768E-3</v>
      </c>
      <c r="L6">
        <v>555.46619999999996</v>
      </c>
      <c r="M6">
        <v>2.3329197999999999E-2</v>
      </c>
      <c r="N6">
        <v>5.5473381999999998E-3</v>
      </c>
      <c r="O6">
        <v>27.23002</v>
      </c>
      <c r="P6">
        <v>-9.7918239999999993E-3</v>
      </c>
      <c r="Q6">
        <v>-2.3388732000000001E-3</v>
      </c>
      <c r="R6">
        <v>-0.26663150000000002</v>
      </c>
      <c r="S6">
        <v>12.95858</v>
      </c>
    </row>
    <row r="7" spans="1:19">
      <c r="A7" t="s">
        <v>42</v>
      </c>
      <c r="B7">
        <v>4382</v>
      </c>
      <c r="C7">
        <v>574.16330000000005</v>
      </c>
      <c r="D7">
        <v>153.5608</v>
      </c>
      <c r="E7">
        <v>2.4612479999999999</v>
      </c>
      <c r="F7">
        <v>1.6027840000000002E-2</v>
      </c>
      <c r="G7">
        <v>420.60270000000003</v>
      </c>
      <c r="H7">
        <v>-3.421589</v>
      </c>
      <c r="I7">
        <v>-8.1349666999999994E-3</v>
      </c>
      <c r="J7">
        <v>-0.96034149999999996</v>
      </c>
      <c r="K7">
        <v>-1.6725927999999999E-3</v>
      </c>
      <c r="L7">
        <v>548.71420000000001</v>
      </c>
      <c r="M7">
        <v>2.3520676000000001E-2</v>
      </c>
      <c r="N7">
        <v>5.5846515999999997E-3</v>
      </c>
      <c r="O7">
        <v>25.449020000000001</v>
      </c>
      <c r="P7">
        <v>-9.5287757000000004E-3</v>
      </c>
      <c r="Q7">
        <v>-2.2663361999999999E-3</v>
      </c>
      <c r="R7">
        <v>-0.24249799999999999</v>
      </c>
      <c r="S7">
        <v>12.906129999999999</v>
      </c>
    </row>
    <row r="8" spans="1:19">
      <c r="A8" t="s">
        <v>5</v>
      </c>
      <c r="B8">
        <v>4386</v>
      </c>
      <c r="C8">
        <v>582.48599999999999</v>
      </c>
      <c r="D8">
        <v>139.20699999999999</v>
      </c>
      <c r="E8">
        <v>2.0276209999999999</v>
      </c>
      <c r="F8">
        <v>1.4565513E-2</v>
      </c>
      <c r="G8">
        <v>443.2801</v>
      </c>
      <c r="H8">
        <v>-3.6054740000000001</v>
      </c>
      <c r="I8">
        <v>-8.1336255999999996E-3</v>
      </c>
      <c r="J8">
        <v>-1.577853</v>
      </c>
      <c r="K8">
        <v>-2.7088262000000002E-3</v>
      </c>
      <c r="L8">
        <v>553.84780000000001</v>
      </c>
      <c r="M8">
        <v>2.3551910999999998E-2</v>
      </c>
      <c r="N8">
        <v>5.6007621E-3</v>
      </c>
      <c r="O8">
        <v>28.639019999999999</v>
      </c>
      <c r="P8">
        <v>-1.0346009E-2</v>
      </c>
      <c r="Q8">
        <v>-2.4691626999999998E-3</v>
      </c>
      <c r="R8">
        <v>-0.29629949999999999</v>
      </c>
      <c r="S8">
        <v>13.044180000000001</v>
      </c>
    </row>
    <row r="9" spans="1:19">
      <c r="A9" t="s">
        <v>6</v>
      </c>
      <c r="B9">
        <v>4386</v>
      </c>
      <c r="C9">
        <v>586.24429999999995</v>
      </c>
      <c r="D9">
        <v>155.5309</v>
      </c>
      <c r="E9">
        <v>2.401484</v>
      </c>
      <c r="F9">
        <v>1.5440562E-2</v>
      </c>
      <c r="G9">
        <v>430.71390000000002</v>
      </c>
      <c r="H9">
        <v>-3.3062450000000001</v>
      </c>
      <c r="I9">
        <v>-7.6761968E-3</v>
      </c>
      <c r="J9">
        <v>-0.90476080000000003</v>
      </c>
      <c r="K9">
        <v>-1.543317E-3</v>
      </c>
      <c r="L9">
        <v>559.32759999999996</v>
      </c>
      <c r="M9">
        <v>2.3461176E-2</v>
      </c>
      <c r="N9">
        <v>5.5745467999999999E-3</v>
      </c>
      <c r="O9">
        <v>26.917020000000001</v>
      </c>
      <c r="P9">
        <v>-9.7671318999999999E-3</v>
      </c>
      <c r="Q9">
        <v>-2.3265667000000002E-3</v>
      </c>
      <c r="R9">
        <v>-0.26290210000000003</v>
      </c>
      <c r="S9">
        <v>13.122479999999999</v>
      </c>
    </row>
  </sheetData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6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522.72490000000005</v>
      </c>
      <c r="D2">
        <v>140.96190000000001</v>
      </c>
      <c r="E2">
        <v>2.224221</v>
      </c>
      <c r="F2">
        <v>1.5778885999999999E-2</v>
      </c>
      <c r="G2">
        <v>381.7645</v>
      </c>
      <c r="H2">
        <v>-3.0670109999999999</v>
      </c>
      <c r="I2">
        <v>-8.0337776E-3</v>
      </c>
      <c r="J2">
        <v>-0.84278989999999998</v>
      </c>
      <c r="K2">
        <v>-1.612301E-3</v>
      </c>
      <c r="L2">
        <v>500.38729999999998</v>
      </c>
      <c r="M2">
        <v>2.3504707999999999E-2</v>
      </c>
      <c r="N2">
        <v>5.5688713000000001E-3</v>
      </c>
      <c r="O2">
        <v>22.338010000000001</v>
      </c>
      <c r="P2">
        <v>-9.9932682000000005E-3</v>
      </c>
      <c r="Q2">
        <v>-2.3747843000000001E-3</v>
      </c>
      <c r="R2">
        <v>-0.2232297</v>
      </c>
      <c r="S2">
        <v>11.76146</v>
      </c>
    </row>
    <row r="3" spans="1:19">
      <c r="A3" t="s">
        <v>1</v>
      </c>
      <c r="B3">
        <v>4368</v>
      </c>
      <c r="C3">
        <v>523.85889999999995</v>
      </c>
      <c r="D3">
        <v>137.80199999999999</v>
      </c>
      <c r="E3">
        <v>2.2126749999999999</v>
      </c>
      <c r="F3">
        <v>1.6056918E-2</v>
      </c>
      <c r="G3">
        <v>386.0582</v>
      </c>
      <c r="H3">
        <v>-3.063631</v>
      </c>
      <c r="I3">
        <v>-7.9356721000000009E-3</v>
      </c>
      <c r="J3">
        <v>-0.85095639999999995</v>
      </c>
      <c r="K3">
        <v>-1.6243999E-3</v>
      </c>
      <c r="L3">
        <v>499.66419999999999</v>
      </c>
      <c r="M3">
        <v>2.3491637999999999E-2</v>
      </c>
      <c r="N3">
        <v>5.5735656000000001E-3</v>
      </c>
      <c r="O3">
        <v>24.19501</v>
      </c>
      <c r="P3">
        <v>-9.9843833999999996E-3</v>
      </c>
      <c r="Q3">
        <v>-2.3683552E-3</v>
      </c>
      <c r="R3">
        <v>-0.24157219999999999</v>
      </c>
      <c r="S3">
        <v>11.73793</v>
      </c>
    </row>
    <row r="4" spans="1:19">
      <c r="A4" t="s">
        <v>2</v>
      </c>
      <c r="B4">
        <v>4368</v>
      </c>
      <c r="C4">
        <v>523.0865</v>
      </c>
      <c r="D4">
        <v>132.4478</v>
      </c>
      <c r="E4">
        <v>1.894312</v>
      </c>
      <c r="F4">
        <v>1.4302323E-2</v>
      </c>
      <c r="G4">
        <v>390.63929999999999</v>
      </c>
      <c r="H4">
        <v>-3.1086520000000002</v>
      </c>
      <c r="I4">
        <v>-7.9578579999999999E-3</v>
      </c>
      <c r="J4">
        <v>-1.21434</v>
      </c>
      <c r="K4">
        <v>-2.3214902999999999E-3</v>
      </c>
      <c r="L4">
        <v>499.74849999999998</v>
      </c>
      <c r="M4">
        <v>2.3549575E-2</v>
      </c>
      <c r="N4">
        <v>5.5882553999999996E-3</v>
      </c>
      <c r="O4">
        <v>23.338010000000001</v>
      </c>
      <c r="P4">
        <v>-9.8390300000000003E-3</v>
      </c>
      <c r="Q4">
        <v>-2.3430954E-3</v>
      </c>
      <c r="R4">
        <v>-0.2296233</v>
      </c>
      <c r="S4">
        <v>11.76887</v>
      </c>
    </row>
    <row r="5" spans="1:19">
      <c r="A5" t="s">
        <v>3</v>
      </c>
      <c r="B5">
        <v>4376</v>
      </c>
      <c r="C5">
        <v>523.58550000000002</v>
      </c>
      <c r="D5">
        <v>139.3758</v>
      </c>
      <c r="E5">
        <v>2.2089940000000001</v>
      </c>
      <c r="F5">
        <v>1.5849192000000002E-2</v>
      </c>
      <c r="G5">
        <v>384.2106</v>
      </c>
      <c r="H5">
        <v>-3.1078079999999999</v>
      </c>
      <c r="I5">
        <v>-8.0888149999999992E-3</v>
      </c>
      <c r="J5">
        <v>-0.89881420000000001</v>
      </c>
      <c r="K5">
        <v>-1.7166522E-3</v>
      </c>
      <c r="L5">
        <v>500.80840000000001</v>
      </c>
      <c r="M5">
        <v>2.3590703000000001E-2</v>
      </c>
      <c r="N5">
        <v>5.5939498999999998E-3</v>
      </c>
      <c r="O5">
        <v>22.777010000000001</v>
      </c>
      <c r="P5">
        <v>-9.8740384E-3</v>
      </c>
      <c r="Q5">
        <v>-2.3427194000000002E-3</v>
      </c>
      <c r="R5">
        <v>-0.22490109999999999</v>
      </c>
      <c r="S5">
        <v>11.81442</v>
      </c>
    </row>
    <row r="6" spans="1:19">
      <c r="A6" t="s">
        <v>4</v>
      </c>
      <c r="B6">
        <v>4382</v>
      </c>
      <c r="C6">
        <v>527.19079999999997</v>
      </c>
      <c r="D6">
        <v>133.3689</v>
      </c>
      <c r="E6">
        <v>1.9781500000000001</v>
      </c>
      <c r="F6">
        <v>1.4832164E-2</v>
      </c>
      <c r="G6">
        <v>393.82339999999999</v>
      </c>
      <c r="H6">
        <v>-2.9990839999999999</v>
      </c>
      <c r="I6">
        <v>-7.6153013000000002E-3</v>
      </c>
      <c r="J6">
        <v>-1.020934</v>
      </c>
      <c r="K6">
        <v>-1.9365557E-3</v>
      </c>
      <c r="L6">
        <v>502.67320000000001</v>
      </c>
      <c r="M6">
        <v>2.3528749000000002E-2</v>
      </c>
      <c r="N6">
        <v>5.5789016E-3</v>
      </c>
      <c r="O6">
        <v>24.51801</v>
      </c>
      <c r="P6">
        <v>-1.0107858000000001E-2</v>
      </c>
      <c r="Q6">
        <v>-2.4060635000000001E-3</v>
      </c>
      <c r="R6">
        <v>-0.2478245</v>
      </c>
      <c r="S6">
        <v>11.82727</v>
      </c>
    </row>
    <row r="7" spans="1:19">
      <c r="A7" t="s">
        <v>42</v>
      </c>
      <c r="B7">
        <v>4382</v>
      </c>
      <c r="C7">
        <v>518.97159999999997</v>
      </c>
      <c r="D7">
        <v>139.51990000000001</v>
      </c>
      <c r="E7">
        <v>2.2591939999999999</v>
      </c>
      <c r="F7">
        <v>1.6192628000000001E-2</v>
      </c>
      <c r="G7">
        <v>379.45330000000001</v>
      </c>
      <c r="H7">
        <v>-3.0567519999999999</v>
      </c>
      <c r="I7">
        <v>-8.0556758000000003E-3</v>
      </c>
      <c r="J7">
        <v>-0.79755830000000005</v>
      </c>
      <c r="K7">
        <v>-1.5368052999999999E-3</v>
      </c>
      <c r="L7">
        <v>495.73419999999999</v>
      </c>
      <c r="M7">
        <v>2.3501293999999999E-2</v>
      </c>
      <c r="N7">
        <v>5.5663613999999998E-3</v>
      </c>
      <c r="O7">
        <v>23.238009999999999</v>
      </c>
      <c r="P7">
        <v>-9.8860217000000007E-3</v>
      </c>
      <c r="Q7">
        <v>-2.3441987999999999E-3</v>
      </c>
      <c r="R7">
        <v>-0.22973150000000001</v>
      </c>
      <c r="S7">
        <v>11.65039</v>
      </c>
    </row>
    <row r="8" spans="1:19">
      <c r="A8" t="s">
        <v>5</v>
      </c>
      <c r="B8">
        <v>4386</v>
      </c>
      <c r="C8">
        <v>520.2799</v>
      </c>
      <c r="D8">
        <v>127.553</v>
      </c>
      <c r="E8">
        <v>1.848735</v>
      </c>
      <c r="F8">
        <v>1.4493858E-2</v>
      </c>
      <c r="G8">
        <v>392.72829999999999</v>
      </c>
      <c r="H8">
        <v>-3.1430380000000002</v>
      </c>
      <c r="I8">
        <v>-8.0030867999999998E-3</v>
      </c>
      <c r="J8">
        <v>-1.294303</v>
      </c>
      <c r="K8">
        <v>-2.4877060000000001E-3</v>
      </c>
      <c r="L8">
        <v>495.76909999999998</v>
      </c>
      <c r="M8">
        <v>2.3561176E-2</v>
      </c>
      <c r="N8">
        <v>5.5836052999999998E-3</v>
      </c>
      <c r="O8">
        <v>24.511009999999999</v>
      </c>
      <c r="P8">
        <v>-1.0105269E-2</v>
      </c>
      <c r="Q8">
        <v>-2.4047610000000001E-3</v>
      </c>
      <c r="R8">
        <v>-0.24769040000000001</v>
      </c>
      <c r="S8">
        <v>11.680899999999999</v>
      </c>
    </row>
    <row r="9" spans="1:19">
      <c r="A9" t="s">
        <v>6</v>
      </c>
      <c r="B9">
        <v>4386</v>
      </c>
      <c r="C9">
        <v>525.8768</v>
      </c>
      <c r="D9">
        <v>140.32079999999999</v>
      </c>
      <c r="E9">
        <v>2.1967660000000002</v>
      </c>
      <c r="F9">
        <v>1.5655313000000001E-2</v>
      </c>
      <c r="G9">
        <v>385.55709999999999</v>
      </c>
      <c r="H9">
        <v>-2.9612889999999998</v>
      </c>
      <c r="I9">
        <v>-7.6805455999999998E-3</v>
      </c>
      <c r="J9">
        <v>-0.76452260000000005</v>
      </c>
      <c r="K9">
        <v>-1.4538054E-3</v>
      </c>
      <c r="L9">
        <v>502.60109999999997</v>
      </c>
      <c r="M9">
        <v>2.3565078E-2</v>
      </c>
      <c r="N9">
        <v>5.5814488000000004E-3</v>
      </c>
      <c r="O9">
        <v>23.276</v>
      </c>
      <c r="P9">
        <v>-9.7273429999999994E-3</v>
      </c>
      <c r="Q9">
        <v>-2.3103438000000001E-3</v>
      </c>
      <c r="R9">
        <v>-0.2264137</v>
      </c>
      <c r="S9">
        <v>11.843830000000001</v>
      </c>
    </row>
  </sheetData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87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475.87520000000001</v>
      </c>
      <c r="D2">
        <v>127.892</v>
      </c>
      <c r="E2">
        <v>2.045185</v>
      </c>
      <c r="F2">
        <v>1.5991505E-2</v>
      </c>
      <c r="G2">
        <v>347.98320000000001</v>
      </c>
      <c r="H2">
        <v>-2.7958759999999998</v>
      </c>
      <c r="I2">
        <v>-8.0345124000000007E-3</v>
      </c>
      <c r="J2">
        <v>-0.75069019999999997</v>
      </c>
      <c r="K2">
        <v>-1.5774941000000001E-3</v>
      </c>
      <c r="L2">
        <v>454.7672</v>
      </c>
      <c r="M2">
        <v>2.3330573E-2</v>
      </c>
      <c r="N2">
        <v>5.5116773999999997E-3</v>
      </c>
      <c r="O2">
        <v>21.108000000000001</v>
      </c>
      <c r="P2">
        <v>-9.4658368999999999E-3</v>
      </c>
      <c r="Q2">
        <v>-2.2449985E-3</v>
      </c>
      <c r="R2">
        <v>-0.19980490000000001</v>
      </c>
      <c r="S2">
        <v>10.60998</v>
      </c>
    </row>
    <row r="3" spans="1:19">
      <c r="A3" t="s">
        <v>1</v>
      </c>
      <c r="B3">
        <v>4368</v>
      </c>
      <c r="C3">
        <v>476.66160000000002</v>
      </c>
      <c r="D3">
        <v>125.688</v>
      </c>
      <c r="E3">
        <v>2.0168200000000001</v>
      </c>
      <c r="F3">
        <v>1.6046243000000002E-2</v>
      </c>
      <c r="G3">
        <v>350.97460000000001</v>
      </c>
      <c r="H3">
        <v>-2.8129780000000002</v>
      </c>
      <c r="I3">
        <v>-8.0147618000000007E-3</v>
      </c>
      <c r="J3">
        <v>-0.79615740000000002</v>
      </c>
      <c r="K3">
        <v>-1.6702780999999999E-3</v>
      </c>
      <c r="L3">
        <v>455.58370000000002</v>
      </c>
      <c r="M3">
        <v>2.3357503000000002E-2</v>
      </c>
      <c r="N3">
        <v>5.5250763E-3</v>
      </c>
      <c r="O3">
        <v>21.077999999999999</v>
      </c>
      <c r="P3">
        <v>-9.5652471999999999E-3</v>
      </c>
      <c r="Q3">
        <v>-2.2653521E-3</v>
      </c>
      <c r="R3">
        <v>-0.2016163</v>
      </c>
      <c r="S3">
        <v>10.641299999999999</v>
      </c>
    </row>
    <row r="4" spans="1:19">
      <c r="A4" t="s">
        <v>2</v>
      </c>
      <c r="B4">
        <v>4368</v>
      </c>
      <c r="C4">
        <v>476.73289999999997</v>
      </c>
      <c r="D4">
        <v>121.9679</v>
      </c>
      <c r="E4">
        <v>1.7337389999999999</v>
      </c>
      <c r="F4">
        <v>1.4214709000000001E-2</v>
      </c>
      <c r="G4">
        <v>354.76479999999998</v>
      </c>
      <c r="H4">
        <v>-2.8158029999999998</v>
      </c>
      <c r="I4">
        <v>-7.9370979000000005E-3</v>
      </c>
      <c r="J4">
        <v>-1.0820639999999999</v>
      </c>
      <c r="K4">
        <v>-2.2697494999999999E-3</v>
      </c>
      <c r="L4">
        <v>455.15100000000001</v>
      </c>
      <c r="M4">
        <v>2.3248192000000001E-2</v>
      </c>
      <c r="N4">
        <v>5.5025676000000001E-3</v>
      </c>
      <c r="O4">
        <v>21.582000000000001</v>
      </c>
      <c r="P4">
        <v>-9.3614644999999996E-3</v>
      </c>
      <c r="Q4">
        <v>-2.2202101999999999E-3</v>
      </c>
      <c r="R4">
        <v>-0.2020391</v>
      </c>
      <c r="S4">
        <v>10.581440000000001</v>
      </c>
    </row>
    <row r="5" spans="1:19">
      <c r="A5" t="s">
        <v>3</v>
      </c>
      <c r="B5">
        <v>4376</v>
      </c>
      <c r="C5">
        <v>476.68619999999999</v>
      </c>
      <c r="D5">
        <v>126.79600000000001</v>
      </c>
      <c r="E5">
        <v>2.0286029999999999</v>
      </c>
      <c r="F5">
        <v>1.5998950000000001E-2</v>
      </c>
      <c r="G5">
        <v>349.89049999999997</v>
      </c>
      <c r="H5">
        <v>-2.8267440000000001</v>
      </c>
      <c r="I5">
        <v>-8.0789393000000008E-3</v>
      </c>
      <c r="J5">
        <v>-0.79814149999999995</v>
      </c>
      <c r="K5">
        <v>-1.6743540000000001E-3</v>
      </c>
      <c r="L5">
        <v>456.3023</v>
      </c>
      <c r="M5">
        <v>2.3443519999999999E-2</v>
      </c>
      <c r="N5">
        <v>5.5426586999999996E-3</v>
      </c>
      <c r="O5">
        <v>20.384</v>
      </c>
      <c r="P5">
        <v>-9.5406324000000004E-3</v>
      </c>
      <c r="Q5">
        <v>-2.2613523E-3</v>
      </c>
      <c r="R5">
        <v>-0.19447629999999999</v>
      </c>
      <c r="S5">
        <v>10.697329999999999</v>
      </c>
    </row>
    <row r="6" spans="1:19">
      <c r="A6" t="s">
        <v>4</v>
      </c>
      <c r="B6">
        <v>4382</v>
      </c>
      <c r="C6">
        <v>482.09930000000003</v>
      </c>
      <c r="D6">
        <v>121.43600000000001</v>
      </c>
      <c r="E6">
        <v>1.8027029999999999</v>
      </c>
      <c r="F6">
        <v>1.4844876999999999E-2</v>
      </c>
      <c r="G6">
        <v>360.66340000000002</v>
      </c>
      <c r="H6">
        <v>-2.7328130000000002</v>
      </c>
      <c r="I6">
        <v>-7.5771832000000004E-3</v>
      </c>
      <c r="J6">
        <v>-0.93011029999999995</v>
      </c>
      <c r="K6">
        <v>-1.9292919E-3</v>
      </c>
      <c r="L6">
        <v>460.52030000000002</v>
      </c>
      <c r="M6">
        <v>2.3152709E-2</v>
      </c>
      <c r="N6">
        <v>5.4734553999999996E-3</v>
      </c>
      <c r="O6">
        <v>21.579000000000001</v>
      </c>
      <c r="P6">
        <v>-9.6547659000000008E-3</v>
      </c>
      <c r="Q6">
        <v>-2.2894521E-3</v>
      </c>
      <c r="R6">
        <v>-0.2083402</v>
      </c>
      <c r="S6">
        <v>10.66229</v>
      </c>
    </row>
    <row r="7" spans="1:19">
      <c r="A7" t="s">
        <v>42</v>
      </c>
      <c r="B7">
        <v>4382</v>
      </c>
      <c r="C7">
        <v>473.1884</v>
      </c>
      <c r="D7">
        <v>127.20699999999999</v>
      </c>
      <c r="E7">
        <v>2.0905740000000002</v>
      </c>
      <c r="F7">
        <v>1.6434429E-2</v>
      </c>
      <c r="G7">
        <v>345.98160000000001</v>
      </c>
      <c r="H7">
        <v>-2.7675649999999998</v>
      </c>
      <c r="I7">
        <v>-7.9991678E-3</v>
      </c>
      <c r="J7">
        <v>-0.67699100000000001</v>
      </c>
      <c r="K7">
        <v>-1.4307005E-3</v>
      </c>
      <c r="L7">
        <v>453.79349999999999</v>
      </c>
      <c r="M7">
        <v>2.3215117E-2</v>
      </c>
      <c r="N7">
        <v>5.4869107E-3</v>
      </c>
      <c r="O7">
        <v>19.395</v>
      </c>
      <c r="P7">
        <v>-9.1794896999999997E-3</v>
      </c>
      <c r="Q7">
        <v>-2.1711731999999998E-3</v>
      </c>
      <c r="R7">
        <v>-0.17803620000000001</v>
      </c>
      <c r="S7">
        <v>10.53487</v>
      </c>
    </row>
    <row r="8" spans="1:19">
      <c r="A8" t="s">
        <v>5</v>
      </c>
      <c r="B8">
        <v>4386</v>
      </c>
      <c r="C8">
        <v>472.53710000000001</v>
      </c>
      <c r="D8">
        <v>118.843</v>
      </c>
      <c r="E8">
        <v>1.7291570000000001</v>
      </c>
      <c r="F8">
        <v>1.4549931E-2</v>
      </c>
      <c r="G8">
        <v>353.69479999999999</v>
      </c>
      <c r="H8">
        <v>-2.8079000000000001</v>
      </c>
      <c r="I8">
        <v>-7.9387650000000004E-3</v>
      </c>
      <c r="J8">
        <v>-1.078743</v>
      </c>
      <c r="K8">
        <v>-2.2828737000000002E-3</v>
      </c>
      <c r="L8">
        <v>450.48329999999999</v>
      </c>
      <c r="M8">
        <v>2.3372675999999998E-2</v>
      </c>
      <c r="N8">
        <v>5.5241346999999998E-3</v>
      </c>
      <c r="O8">
        <v>22.053989999999999</v>
      </c>
      <c r="P8">
        <v>-9.4717256999999992E-3</v>
      </c>
      <c r="Q8">
        <v>-2.2461221000000002E-3</v>
      </c>
      <c r="R8">
        <v>-0.2088894</v>
      </c>
      <c r="S8">
        <v>10.529</v>
      </c>
    </row>
    <row r="9" spans="1:19">
      <c r="A9" t="s">
        <v>6</v>
      </c>
      <c r="B9">
        <v>4386</v>
      </c>
      <c r="C9">
        <v>480.72879999999998</v>
      </c>
      <c r="D9">
        <v>127.679</v>
      </c>
      <c r="E9">
        <v>2.028559</v>
      </c>
      <c r="F9">
        <v>1.5887954999999999E-2</v>
      </c>
      <c r="G9">
        <v>353.05040000000002</v>
      </c>
      <c r="H9">
        <v>-2.6949390000000002</v>
      </c>
      <c r="I9">
        <v>-7.6332982000000002E-3</v>
      </c>
      <c r="J9">
        <v>-0.66638019999999998</v>
      </c>
      <c r="K9">
        <v>-1.3861874E-3</v>
      </c>
      <c r="L9">
        <v>459.916</v>
      </c>
      <c r="M9">
        <v>2.3348540000000001E-2</v>
      </c>
      <c r="N9">
        <v>5.5153401999999997E-3</v>
      </c>
      <c r="O9">
        <v>20.812989999999999</v>
      </c>
      <c r="P9">
        <v>-9.1820163999999996E-3</v>
      </c>
      <c r="Q9">
        <v>-2.1716502999999999E-3</v>
      </c>
      <c r="R9">
        <v>-0.1911052</v>
      </c>
      <c r="S9">
        <v>10.73837</v>
      </c>
    </row>
  </sheetData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88"/>
  <dimension ref="A1:S9"/>
  <sheetViews>
    <sheetView zoomScaleNormal="100"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438.25259999999997</v>
      </c>
      <c r="D2">
        <v>116.8331</v>
      </c>
      <c r="E2">
        <v>1.887864</v>
      </c>
      <c r="F2">
        <v>1.6158644E-2</v>
      </c>
      <c r="G2">
        <v>321.42009999999999</v>
      </c>
      <c r="H2">
        <v>-2.565995</v>
      </c>
      <c r="I2">
        <v>-7.9833063999999992E-3</v>
      </c>
      <c r="J2">
        <v>-0.67813120000000005</v>
      </c>
      <c r="K2">
        <v>-1.5473523E-3</v>
      </c>
      <c r="L2">
        <v>419.55360000000002</v>
      </c>
      <c r="M2">
        <v>2.3051133000000001E-2</v>
      </c>
      <c r="N2">
        <v>5.4363053999999999E-3</v>
      </c>
      <c r="O2">
        <v>18.699000000000002</v>
      </c>
      <c r="P2">
        <v>-9.6501847999999994E-3</v>
      </c>
      <c r="Q2">
        <v>-2.2841615E-3</v>
      </c>
      <c r="R2">
        <v>-0.18044879999999999</v>
      </c>
      <c r="S2">
        <v>9.6711869999999998</v>
      </c>
    </row>
    <row r="3" spans="1:19">
      <c r="A3" t="s">
        <v>1</v>
      </c>
      <c r="B3">
        <v>4368</v>
      </c>
      <c r="C3">
        <v>441.57749999999999</v>
      </c>
      <c r="D3">
        <v>115.992</v>
      </c>
      <c r="E3">
        <v>1.906102</v>
      </c>
      <c r="F3">
        <v>1.6433043000000001E-2</v>
      </c>
      <c r="G3">
        <v>325.58620000000002</v>
      </c>
      <c r="H3">
        <v>-2.5971489999999999</v>
      </c>
      <c r="I3">
        <v>-7.9768411999999993E-3</v>
      </c>
      <c r="J3">
        <v>-0.69104719999999997</v>
      </c>
      <c r="K3">
        <v>-1.5649513000000001E-3</v>
      </c>
      <c r="L3">
        <v>422.65429999999998</v>
      </c>
      <c r="M3">
        <v>2.3184517000000002E-2</v>
      </c>
      <c r="N3">
        <v>5.4743225E-3</v>
      </c>
      <c r="O3">
        <v>18.922989999999999</v>
      </c>
      <c r="P3">
        <v>-9.6104080000000008E-3</v>
      </c>
      <c r="Q3">
        <v>-2.2732210000000002E-3</v>
      </c>
      <c r="R3">
        <v>-0.18185770000000001</v>
      </c>
      <c r="S3">
        <v>9.7990370000000002</v>
      </c>
    </row>
    <row r="4" spans="1:19">
      <c r="A4" t="s">
        <v>2</v>
      </c>
      <c r="B4">
        <v>4368</v>
      </c>
      <c r="C4">
        <v>438.7072</v>
      </c>
      <c r="D4">
        <v>113.708</v>
      </c>
      <c r="E4">
        <v>1.638701</v>
      </c>
      <c r="F4">
        <v>1.4411491E-2</v>
      </c>
      <c r="G4">
        <v>324.99919999999997</v>
      </c>
      <c r="H4">
        <v>-2.5681780000000001</v>
      </c>
      <c r="I4">
        <v>-7.9021062999999996E-3</v>
      </c>
      <c r="J4">
        <v>-0.929477</v>
      </c>
      <c r="K4">
        <v>-2.1186727000000001E-3</v>
      </c>
      <c r="L4">
        <v>418.10199999999998</v>
      </c>
      <c r="M4">
        <v>2.3083208000000001E-2</v>
      </c>
      <c r="N4">
        <v>5.4526185E-3</v>
      </c>
      <c r="O4">
        <v>20.604990000000001</v>
      </c>
      <c r="P4">
        <v>-9.3157551999999994E-3</v>
      </c>
      <c r="Q4">
        <v>-2.2063338999999999E-3</v>
      </c>
      <c r="R4">
        <v>-0.19195110000000001</v>
      </c>
      <c r="S4">
        <v>9.6511340000000008</v>
      </c>
    </row>
    <row r="5" spans="1:19">
      <c r="A5" t="s">
        <v>3</v>
      </c>
      <c r="B5">
        <v>4376</v>
      </c>
      <c r="C5">
        <v>436.04450000000003</v>
      </c>
      <c r="D5">
        <v>116.40009999999999</v>
      </c>
      <c r="E5">
        <v>1.9082220000000001</v>
      </c>
      <c r="F5">
        <v>1.6393654000000001E-2</v>
      </c>
      <c r="G5">
        <v>319.64499999999998</v>
      </c>
      <c r="H5">
        <v>-2.5724649999999998</v>
      </c>
      <c r="I5">
        <v>-8.0478796999999998E-3</v>
      </c>
      <c r="J5">
        <v>-0.66424229999999995</v>
      </c>
      <c r="K5">
        <v>-1.5233359000000001E-3</v>
      </c>
      <c r="L5">
        <v>416.67360000000002</v>
      </c>
      <c r="M5">
        <v>2.3251465999999998E-2</v>
      </c>
      <c r="N5">
        <v>5.4859975E-3</v>
      </c>
      <c r="O5">
        <v>19.370989999999999</v>
      </c>
      <c r="P5">
        <v>-9.3100023999999997E-3</v>
      </c>
      <c r="Q5">
        <v>-2.1993171000000001E-3</v>
      </c>
      <c r="R5">
        <v>-0.180344</v>
      </c>
      <c r="S5">
        <v>9.6882719999999996</v>
      </c>
    </row>
    <row r="6" spans="1:19">
      <c r="A6" t="s">
        <v>4</v>
      </c>
      <c r="B6">
        <v>4382</v>
      </c>
      <c r="C6">
        <v>444.29860000000002</v>
      </c>
      <c r="D6">
        <v>113.23699999999999</v>
      </c>
      <c r="E6">
        <v>1.680213</v>
      </c>
      <c r="F6">
        <v>1.4838021E-2</v>
      </c>
      <c r="G6">
        <v>331.06130000000002</v>
      </c>
      <c r="H6">
        <v>-2.498821</v>
      </c>
      <c r="I6">
        <v>-7.5479108E-3</v>
      </c>
      <c r="J6">
        <v>-0.81860829999999996</v>
      </c>
      <c r="K6">
        <v>-1.8424731999999999E-3</v>
      </c>
      <c r="L6">
        <v>424.87759999999997</v>
      </c>
      <c r="M6">
        <v>2.2939872E-2</v>
      </c>
      <c r="N6">
        <v>5.4117920999999999E-3</v>
      </c>
      <c r="O6">
        <v>19.42099</v>
      </c>
      <c r="P6">
        <v>-9.4290702000000004E-3</v>
      </c>
      <c r="Q6">
        <v>-2.2331934999999998E-3</v>
      </c>
      <c r="R6">
        <v>-0.1831219</v>
      </c>
      <c r="S6">
        <v>9.7466369999999998</v>
      </c>
    </row>
    <row r="7" spans="1:19">
      <c r="A7" t="s">
        <v>42</v>
      </c>
      <c r="B7">
        <v>4382</v>
      </c>
      <c r="C7">
        <v>438.26839999999999</v>
      </c>
      <c r="D7">
        <v>117.029</v>
      </c>
      <c r="E7">
        <v>1.96261</v>
      </c>
      <c r="F7">
        <v>1.677029E-2</v>
      </c>
      <c r="G7">
        <v>321.23970000000003</v>
      </c>
      <c r="H7">
        <v>-2.5913029999999999</v>
      </c>
      <c r="I7">
        <v>-8.0665722000000002E-3</v>
      </c>
      <c r="J7">
        <v>-0.62869269999999999</v>
      </c>
      <c r="K7">
        <v>-1.4344925000000001E-3</v>
      </c>
      <c r="L7">
        <v>420.57209999999998</v>
      </c>
      <c r="M7">
        <v>2.3166539E-2</v>
      </c>
      <c r="N7">
        <v>5.4644988999999998E-3</v>
      </c>
      <c r="O7">
        <v>17.695989999999998</v>
      </c>
      <c r="P7">
        <v>-9.3035511999999994E-3</v>
      </c>
      <c r="Q7">
        <v>-2.1951409999999998E-3</v>
      </c>
      <c r="R7">
        <v>-0.16463559999999999</v>
      </c>
      <c r="S7">
        <v>9.7432009999999991</v>
      </c>
    </row>
    <row r="8" spans="1:19">
      <c r="A8" t="s">
        <v>5</v>
      </c>
      <c r="B8">
        <v>4386</v>
      </c>
      <c r="C8">
        <v>435.74090000000001</v>
      </c>
      <c r="D8">
        <v>109.774</v>
      </c>
      <c r="E8">
        <v>1.6070549999999999</v>
      </c>
      <c r="F8">
        <v>1.4639664E-2</v>
      </c>
      <c r="G8">
        <v>325.96730000000002</v>
      </c>
      <c r="H8">
        <v>-2.5528680000000001</v>
      </c>
      <c r="I8">
        <v>-7.8316693999999996E-3</v>
      </c>
      <c r="J8">
        <v>-0.94581329999999997</v>
      </c>
      <c r="K8">
        <v>-2.1705863000000001E-3</v>
      </c>
      <c r="L8">
        <v>415.8578</v>
      </c>
      <c r="M8">
        <v>2.2962224E-2</v>
      </c>
      <c r="N8">
        <v>5.4194205000000001E-3</v>
      </c>
      <c r="O8">
        <v>19.882989999999999</v>
      </c>
      <c r="P8">
        <v>-9.6210976999999993E-3</v>
      </c>
      <c r="Q8">
        <v>-2.2773359E-3</v>
      </c>
      <c r="R8">
        <v>-0.1912962</v>
      </c>
      <c r="S8">
        <v>9.5490189999999995</v>
      </c>
    </row>
    <row r="9" spans="1:19">
      <c r="A9" t="s">
        <v>6</v>
      </c>
      <c r="B9">
        <v>4386</v>
      </c>
      <c r="C9">
        <v>441.06920000000002</v>
      </c>
      <c r="D9">
        <v>118.304</v>
      </c>
      <c r="E9">
        <v>1.893967</v>
      </c>
      <c r="F9">
        <v>1.6009325000000001E-2</v>
      </c>
      <c r="G9">
        <v>322.76479999999998</v>
      </c>
      <c r="H9">
        <v>-2.4728059999999998</v>
      </c>
      <c r="I9">
        <v>-7.6613254000000002E-3</v>
      </c>
      <c r="J9">
        <v>-0.57883910000000005</v>
      </c>
      <c r="K9">
        <v>-1.3123542E-3</v>
      </c>
      <c r="L9">
        <v>422.89109999999999</v>
      </c>
      <c r="M9">
        <v>2.3146291999999999E-2</v>
      </c>
      <c r="N9">
        <v>5.4561658999999997E-3</v>
      </c>
      <c r="O9">
        <v>18.177990000000001</v>
      </c>
      <c r="P9">
        <v>-9.1521134999999997E-3</v>
      </c>
      <c r="Q9">
        <v>-2.1606109000000002E-3</v>
      </c>
      <c r="R9">
        <v>-0.16636699999999999</v>
      </c>
      <c r="S9">
        <v>9.7883619999999993</v>
      </c>
    </row>
  </sheetData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89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401.07490000000001</v>
      </c>
      <c r="D2">
        <v>106.7071</v>
      </c>
      <c r="E2">
        <v>1.761261</v>
      </c>
      <c r="F2">
        <v>1.6505571E-2</v>
      </c>
      <c r="G2">
        <v>294.36770000000001</v>
      </c>
      <c r="H2">
        <v>-2.333631</v>
      </c>
      <c r="I2">
        <v>-7.9276059000000006E-3</v>
      </c>
      <c r="J2">
        <v>-0.57237039999999995</v>
      </c>
      <c r="K2">
        <v>-1.4270910999999999E-3</v>
      </c>
      <c r="L2">
        <v>383.8449</v>
      </c>
      <c r="M2">
        <v>2.3288514E-2</v>
      </c>
      <c r="N2">
        <v>5.4807956000000003E-3</v>
      </c>
      <c r="O2">
        <v>17.23</v>
      </c>
      <c r="P2">
        <v>-9.6787288999999992E-3</v>
      </c>
      <c r="Q2">
        <v>-2.2844448999999999E-3</v>
      </c>
      <c r="R2">
        <v>-0.16676450000000001</v>
      </c>
      <c r="S2">
        <v>8.9391780000000001</v>
      </c>
    </row>
    <row r="3" spans="1:19">
      <c r="A3" t="s">
        <v>1</v>
      </c>
      <c r="B3">
        <v>4368</v>
      </c>
      <c r="C3">
        <v>411.71910000000003</v>
      </c>
      <c r="D3">
        <v>108.4391</v>
      </c>
      <c r="E3">
        <v>1.8053330000000001</v>
      </c>
      <c r="F3">
        <v>1.6648362999999999E-2</v>
      </c>
      <c r="G3">
        <v>303.27960000000002</v>
      </c>
      <c r="H3">
        <v>-2.3975759999999999</v>
      </c>
      <c r="I3">
        <v>-7.9054981E-3</v>
      </c>
      <c r="J3">
        <v>-0.59224299999999996</v>
      </c>
      <c r="K3">
        <v>-1.4384636000000001E-3</v>
      </c>
      <c r="L3">
        <v>394.4821</v>
      </c>
      <c r="M3">
        <v>2.3309881000000001E-2</v>
      </c>
      <c r="N3">
        <v>5.4930294999999997E-3</v>
      </c>
      <c r="O3">
        <v>17.236999999999998</v>
      </c>
      <c r="P3">
        <v>-9.8780802999999997E-3</v>
      </c>
      <c r="Q3">
        <v>-2.3324448000000002E-3</v>
      </c>
      <c r="R3">
        <v>-0.17026849999999999</v>
      </c>
      <c r="S3">
        <v>9.1953320000000005</v>
      </c>
    </row>
    <row r="4" spans="1:19">
      <c r="A4" t="s">
        <v>2</v>
      </c>
      <c r="B4">
        <v>4368</v>
      </c>
      <c r="C4">
        <v>408.56900000000002</v>
      </c>
      <c r="D4">
        <v>108.218</v>
      </c>
      <c r="E4">
        <v>1.564727</v>
      </c>
      <c r="F4">
        <v>1.4459029999999999E-2</v>
      </c>
      <c r="G4">
        <v>300.35050000000001</v>
      </c>
      <c r="H4">
        <v>-2.3664900000000002</v>
      </c>
      <c r="I4">
        <v>-7.8790952000000001E-3</v>
      </c>
      <c r="J4">
        <v>-0.80176320000000001</v>
      </c>
      <c r="K4">
        <v>-1.9623688000000002E-3</v>
      </c>
      <c r="L4">
        <v>390.57170000000002</v>
      </c>
      <c r="M4">
        <v>2.3170573999999999E-2</v>
      </c>
      <c r="N4">
        <v>5.4648370000000002E-3</v>
      </c>
      <c r="O4">
        <v>17.99699</v>
      </c>
      <c r="P4">
        <v>-9.419363E-3</v>
      </c>
      <c r="Q4">
        <v>-2.2305291999999998E-3</v>
      </c>
      <c r="R4">
        <v>-0.16952020000000001</v>
      </c>
      <c r="S4">
        <v>9.0497700000000005</v>
      </c>
    </row>
    <row r="5" spans="1:19">
      <c r="A5" t="s">
        <v>3</v>
      </c>
      <c r="B5">
        <v>4376</v>
      </c>
      <c r="C5">
        <v>405.3229</v>
      </c>
      <c r="D5">
        <v>108.592</v>
      </c>
      <c r="E5">
        <v>1.813299</v>
      </c>
      <c r="F5">
        <v>1.6698265E-2</v>
      </c>
      <c r="G5">
        <v>296.73090000000002</v>
      </c>
      <c r="H5">
        <v>-2.3735010000000001</v>
      </c>
      <c r="I5">
        <v>-7.9988316000000007E-3</v>
      </c>
      <c r="J5">
        <v>-0.56020199999999998</v>
      </c>
      <c r="K5">
        <v>-1.3821127E-3</v>
      </c>
      <c r="L5">
        <v>387.16379999999998</v>
      </c>
      <c r="M5">
        <v>2.3297569000000001E-2</v>
      </c>
      <c r="N5">
        <v>5.4866037999999999E-3</v>
      </c>
      <c r="O5">
        <v>18.158999999999999</v>
      </c>
      <c r="P5">
        <v>-9.3859042999999993E-3</v>
      </c>
      <c r="Q5">
        <v>-2.2134883000000001E-3</v>
      </c>
      <c r="R5">
        <v>-0.1704386</v>
      </c>
      <c r="S5">
        <v>9.0199770000000008</v>
      </c>
    </row>
    <row r="6" spans="1:19">
      <c r="A6" t="s">
        <v>4</v>
      </c>
      <c r="B6">
        <v>4382</v>
      </c>
      <c r="C6">
        <v>412.74669999999998</v>
      </c>
      <c r="D6">
        <v>104.65900000000001</v>
      </c>
      <c r="E6">
        <v>1.562073</v>
      </c>
      <c r="F6">
        <v>1.4925357E-2</v>
      </c>
      <c r="G6">
        <v>308.08670000000001</v>
      </c>
      <c r="H6">
        <v>-2.3489460000000002</v>
      </c>
      <c r="I6">
        <v>-7.6243020999999999E-3</v>
      </c>
      <c r="J6">
        <v>-0.78687359999999995</v>
      </c>
      <c r="K6">
        <v>-1.906432E-3</v>
      </c>
      <c r="L6">
        <v>394.78949999999998</v>
      </c>
      <c r="M6">
        <v>2.3170883E-2</v>
      </c>
      <c r="N6">
        <v>5.4547531000000002E-3</v>
      </c>
      <c r="O6">
        <v>17.956990000000001</v>
      </c>
      <c r="P6">
        <v>-9.2160003000000008E-3</v>
      </c>
      <c r="Q6">
        <v>-2.1775216000000002E-3</v>
      </c>
      <c r="R6">
        <v>-0.16549159999999999</v>
      </c>
      <c r="S6">
        <v>9.1476209999999991</v>
      </c>
    </row>
    <row r="7" spans="1:19">
      <c r="A7" t="s">
        <v>42</v>
      </c>
      <c r="B7">
        <v>4382</v>
      </c>
      <c r="C7">
        <v>404.65839999999997</v>
      </c>
      <c r="D7">
        <v>108.07599999999999</v>
      </c>
      <c r="E7">
        <v>1.779666</v>
      </c>
      <c r="F7">
        <v>1.64668E-2</v>
      </c>
      <c r="G7">
        <v>296.58179999999999</v>
      </c>
      <c r="H7">
        <v>-2.3862559999999999</v>
      </c>
      <c r="I7">
        <v>-8.0458614999999994E-3</v>
      </c>
      <c r="J7">
        <v>-0.60658979999999996</v>
      </c>
      <c r="K7">
        <v>-1.4990168E-3</v>
      </c>
      <c r="L7">
        <v>389.12209999999999</v>
      </c>
      <c r="M7">
        <v>2.3213287999999999E-2</v>
      </c>
      <c r="N7">
        <v>5.4644905000000004E-3</v>
      </c>
      <c r="O7">
        <v>15.536</v>
      </c>
      <c r="P7">
        <v>-9.3943896000000006E-3</v>
      </c>
      <c r="Q7">
        <v>-2.2113824000000002E-3</v>
      </c>
      <c r="R7">
        <v>-0.1459512</v>
      </c>
      <c r="S7">
        <v>9.0328029999999995</v>
      </c>
    </row>
    <row r="8" spans="1:19">
      <c r="A8" t="s">
        <v>5</v>
      </c>
      <c r="B8">
        <v>4386</v>
      </c>
      <c r="C8">
        <v>402.9402</v>
      </c>
      <c r="D8">
        <v>100.9641</v>
      </c>
      <c r="E8">
        <v>1.475754</v>
      </c>
      <c r="F8">
        <v>1.4616624999999999E-2</v>
      </c>
      <c r="G8">
        <v>301.97570000000002</v>
      </c>
      <c r="H8">
        <v>-2.378139</v>
      </c>
      <c r="I8">
        <v>-7.8752645999999992E-3</v>
      </c>
      <c r="J8">
        <v>-0.90238459999999998</v>
      </c>
      <c r="K8">
        <v>-2.2395001999999998E-3</v>
      </c>
      <c r="L8">
        <v>384.77109999999999</v>
      </c>
      <c r="M8">
        <v>2.3038263E-2</v>
      </c>
      <c r="N8">
        <v>5.4283263000000003E-3</v>
      </c>
      <c r="O8">
        <v>18.168990000000001</v>
      </c>
      <c r="P8">
        <v>-9.7801024000000007E-3</v>
      </c>
      <c r="Q8">
        <v>-2.3077220999999999E-3</v>
      </c>
      <c r="R8">
        <v>-0.17769460000000001</v>
      </c>
      <c r="S8">
        <v>8.8644569999999998</v>
      </c>
    </row>
    <row r="9" spans="1:19">
      <c r="A9" t="s">
        <v>6</v>
      </c>
      <c r="B9">
        <v>4386</v>
      </c>
      <c r="C9">
        <v>407.42840000000001</v>
      </c>
      <c r="D9">
        <v>110.244</v>
      </c>
      <c r="E9">
        <v>1.7591619999999999</v>
      </c>
      <c r="F9">
        <v>1.5956977000000001E-2</v>
      </c>
      <c r="G9">
        <v>297.18349999999998</v>
      </c>
      <c r="H9">
        <v>-2.2665630000000001</v>
      </c>
      <c r="I9">
        <v>-7.6268142999999997E-3</v>
      </c>
      <c r="J9">
        <v>-0.50740180000000001</v>
      </c>
      <c r="K9">
        <v>-1.2453765E-3</v>
      </c>
      <c r="L9">
        <v>391.1671</v>
      </c>
      <c r="M9">
        <v>2.3232834000000001E-2</v>
      </c>
      <c r="N9">
        <v>5.4647741E-3</v>
      </c>
      <c r="O9">
        <v>16.26099</v>
      </c>
      <c r="P9">
        <v>-9.1708107000000004E-3</v>
      </c>
      <c r="Q9">
        <v>-2.1612536999999999E-3</v>
      </c>
      <c r="R9">
        <v>-0.1491265</v>
      </c>
      <c r="S9">
        <v>9.0879189999999994</v>
      </c>
    </row>
  </sheetData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90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374.40899999999999</v>
      </c>
      <c r="D2">
        <v>99.345039999999997</v>
      </c>
      <c r="E2">
        <v>1.6462600000000001</v>
      </c>
      <c r="F2">
        <v>1.6571140000000002E-2</v>
      </c>
      <c r="G2">
        <v>275.06400000000002</v>
      </c>
      <c r="H2">
        <v>-2.1371760000000002</v>
      </c>
      <c r="I2">
        <v>-7.769743E-3</v>
      </c>
      <c r="J2">
        <v>-0.49091580000000001</v>
      </c>
      <c r="K2">
        <v>-1.3111753E-3</v>
      </c>
      <c r="L2">
        <v>358.4289</v>
      </c>
      <c r="M2">
        <v>2.3225961E-2</v>
      </c>
      <c r="N2">
        <v>5.4625031000000001E-3</v>
      </c>
      <c r="O2">
        <v>15.98</v>
      </c>
      <c r="P2">
        <v>-9.7245425000000007E-3</v>
      </c>
      <c r="Q2">
        <v>-2.2852679E-3</v>
      </c>
      <c r="R2">
        <v>-0.15539819999999999</v>
      </c>
      <c r="S2">
        <v>8.3248549999999994</v>
      </c>
    </row>
    <row r="3" spans="1:19">
      <c r="A3" t="s">
        <v>1</v>
      </c>
      <c r="B3">
        <v>4368</v>
      </c>
      <c r="C3">
        <v>383.10899999999998</v>
      </c>
      <c r="D3">
        <v>101.35509999999999</v>
      </c>
      <c r="E3">
        <v>1.68943</v>
      </c>
      <c r="F3">
        <v>1.6668427999999999E-2</v>
      </c>
      <c r="G3">
        <v>281.75380000000001</v>
      </c>
      <c r="H3">
        <v>-2.2418849999999999</v>
      </c>
      <c r="I3">
        <v>-7.9568932000000005E-3</v>
      </c>
      <c r="J3">
        <v>-0.55245480000000002</v>
      </c>
      <c r="K3">
        <v>-1.4420304000000001E-3</v>
      </c>
      <c r="L3">
        <v>367.84570000000002</v>
      </c>
      <c r="M3">
        <v>2.3303276000000001E-2</v>
      </c>
      <c r="N3">
        <v>5.4808239999999996E-3</v>
      </c>
      <c r="O3">
        <v>15.263</v>
      </c>
      <c r="P3">
        <v>-1.0033431000000001E-2</v>
      </c>
      <c r="Q3">
        <v>-2.3560043999999998E-3</v>
      </c>
      <c r="R3">
        <v>-0.15314030000000001</v>
      </c>
      <c r="S3">
        <v>8.5720089999999995</v>
      </c>
    </row>
    <row r="4" spans="1:19">
      <c r="A4" t="s">
        <v>2</v>
      </c>
      <c r="B4">
        <v>4368</v>
      </c>
      <c r="C4">
        <v>382.97089999999997</v>
      </c>
      <c r="D4">
        <v>101.822</v>
      </c>
      <c r="E4">
        <v>1.487986</v>
      </c>
      <c r="F4">
        <v>1.4613596E-2</v>
      </c>
      <c r="G4">
        <v>281.149</v>
      </c>
      <c r="H4">
        <v>-2.2149230000000002</v>
      </c>
      <c r="I4">
        <v>-7.878108E-3</v>
      </c>
      <c r="J4">
        <v>-0.72693649999999999</v>
      </c>
      <c r="K4">
        <v>-1.8981506999999999E-3</v>
      </c>
      <c r="L4">
        <v>366.90679999999998</v>
      </c>
      <c r="M4">
        <v>2.3257498000000001E-2</v>
      </c>
      <c r="N4">
        <v>5.4735946000000002E-3</v>
      </c>
      <c r="O4">
        <v>16.064</v>
      </c>
      <c r="P4">
        <v>-9.3765371000000004E-3</v>
      </c>
      <c r="Q4">
        <v>-2.2150688E-3</v>
      </c>
      <c r="R4">
        <v>-0.1506247</v>
      </c>
      <c r="S4">
        <v>8.533334</v>
      </c>
    </row>
    <row r="5" spans="1:19">
      <c r="A5" t="s">
        <v>3</v>
      </c>
      <c r="B5">
        <v>4376</v>
      </c>
      <c r="C5">
        <v>376.15010000000001</v>
      </c>
      <c r="D5">
        <v>99.905050000000003</v>
      </c>
      <c r="E5">
        <v>1.676887</v>
      </c>
      <c r="F5">
        <v>1.6784807999999998E-2</v>
      </c>
      <c r="G5">
        <v>276.24509999999998</v>
      </c>
      <c r="H5">
        <v>-2.1844420000000002</v>
      </c>
      <c r="I5">
        <v>-7.9076244000000004E-3</v>
      </c>
      <c r="J5">
        <v>-0.50755490000000003</v>
      </c>
      <c r="K5">
        <v>-1.3493412000000001E-3</v>
      </c>
      <c r="L5">
        <v>361.12700000000001</v>
      </c>
      <c r="M5">
        <v>2.3368389999999999E-2</v>
      </c>
      <c r="N5">
        <v>5.4976922000000003E-3</v>
      </c>
      <c r="O5">
        <v>15.023</v>
      </c>
      <c r="P5">
        <v>-1.0001029E-2</v>
      </c>
      <c r="Q5">
        <v>-2.347586E-3</v>
      </c>
      <c r="R5">
        <v>-0.1502455</v>
      </c>
      <c r="S5">
        <v>8.4389570000000003</v>
      </c>
    </row>
    <row r="6" spans="1:19">
      <c r="A6" t="s">
        <v>4</v>
      </c>
      <c r="B6">
        <v>4382</v>
      </c>
      <c r="C6">
        <v>385.99709999999999</v>
      </c>
      <c r="D6">
        <v>97.093010000000007</v>
      </c>
      <c r="E6">
        <v>1.4863919999999999</v>
      </c>
      <c r="F6">
        <v>1.5308946E-2</v>
      </c>
      <c r="G6">
        <v>288.9042</v>
      </c>
      <c r="H6">
        <v>-2.198788</v>
      </c>
      <c r="I6">
        <v>-7.6107872E-3</v>
      </c>
      <c r="J6">
        <v>-0.71239669999999999</v>
      </c>
      <c r="K6">
        <v>-1.8456010999999999E-3</v>
      </c>
      <c r="L6">
        <v>369.5179</v>
      </c>
      <c r="M6">
        <v>2.3356535000000001E-2</v>
      </c>
      <c r="N6">
        <v>5.4902405999999997E-3</v>
      </c>
      <c r="O6">
        <v>16.478999999999999</v>
      </c>
      <c r="P6">
        <v>-9.4871065000000001E-3</v>
      </c>
      <c r="Q6">
        <v>-2.2334002E-3</v>
      </c>
      <c r="R6">
        <v>-0.156338</v>
      </c>
      <c r="S6">
        <v>8.6306580000000004</v>
      </c>
    </row>
    <row r="7" spans="1:19">
      <c r="A7" t="s">
        <v>42</v>
      </c>
      <c r="B7">
        <v>4382</v>
      </c>
      <c r="C7">
        <v>377.5401</v>
      </c>
      <c r="D7">
        <v>100.33</v>
      </c>
      <c r="E7">
        <v>1.6333610000000001</v>
      </c>
      <c r="F7">
        <v>1.627988E-2</v>
      </c>
      <c r="G7">
        <v>277.21010000000001</v>
      </c>
      <c r="H7">
        <v>-2.2298930000000001</v>
      </c>
      <c r="I7">
        <v>-8.0440518999999999E-3</v>
      </c>
      <c r="J7">
        <v>-0.59653210000000001</v>
      </c>
      <c r="K7">
        <v>-1.5800495E-3</v>
      </c>
      <c r="L7">
        <v>362.50580000000002</v>
      </c>
      <c r="M7">
        <v>2.3278759999999999E-2</v>
      </c>
      <c r="N7">
        <v>5.4796649999999999E-3</v>
      </c>
      <c r="O7">
        <v>15.034000000000001</v>
      </c>
      <c r="P7">
        <v>-9.5216100999999994E-3</v>
      </c>
      <c r="Q7">
        <v>-2.2366858999999998E-3</v>
      </c>
      <c r="R7">
        <v>-0.14314789999999999</v>
      </c>
      <c r="S7">
        <v>8.4386840000000003</v>
      </c>
    </row>
    <row r="8" spans="1:19">
      <c r="A8" t="s">
        <v>5</v>
      </c>
      <c r="B8">
        <v>4386</v>
      </c>
      <c r="C8">
        <v>382.52409999999998</v>
      </c>
      <c r="D8">
        <v>94.858099999999993</v>
      </c>
      <c r="E8">
        <v>1.385999</v>
      </c>
      <c r="F8">
        <v>1.4611291E-2</v>
      </c>
      <c r="G8">
        <v>287.666</v>
      </c>
      <c r="H8">
        <v>-2.244605</v>
      </c>
      <c r="I8">
        <v>-7.8028170000000001E-3</v>
      </c>
      <c r="J8">
        <v>-0.85860550000000002</v>
      </c>
      <c r="K8">
        <v>-2.2445786999999999E-3</v>
      </c>
      <c r="L8">
        <v>365.33690000000001</v>
      </c>
      <c r="M8">
        <v>2.30853E-2</v>
      </c>
      <c r="N8">
        <v>5.4342211E-3</v>
      </c>
      <c r="O8">
        <v>17.187000000000001</v>
      </c>
      <c r="P8">
        <v>-9.8834075E-3</v>
      </c>
      <c r="Q8">
        <v>-2.3269330000000002E-3</v>
      </c>
      <c r="R8">
        <v>-0.16986609999999999</v>
      </c>
      <c r="S8">
        <v>8.4339110000000002</v>
      </c>
    </row>
    <row r="9" spans="1:19">
      <c r="A9" t="s">
        <v>6</v>
      </c>
      <c r="B9">
        <v>4386</v>
      </c>
      <c r="C9">
        <v>377.82530000000003</v>
      </c>
      <c r="D9">
        <v>100.1161</v>
      </c>
      <c r="E9">
        <v>1.59924</v>
      </c>
      <c r="F9">
        <v>1.5973854999999999E-2</v>
      </c>
      <c r="G9">
        <v>277.70940000000002</v>
      </c>
      <c r="H9">
        <v>-2.1171959999999999</v>
      </c>
      <c r="I9">
        <v>-7.6237804999999999E-3</v>
      </c>
      <c r="J9">
        <v>-0.51795599999999997</v>
      </c>
      <c r="K9">
        <v>-1.3708874E-3</v>
      </c>
      <c r="L9">
        <v>362.56299999999999</v>
      </c>
      <c r="M9">
        <v>2.3288341000000001E-2</v>
      </c>
      <c r="N9">
        <v>5.4650428000000001E-3</v>
      </c>
      <c r="O9">
        <v>15.262</v>
      </c>
      <c r="P9">
        <v>-9.2327808999999993E-3</v>
      </c>
      <c r="Q9">
        <v>-2.167857E-3</v>
      </c>
      <c r="R9">
        <v>-0.1409107</v>
      </c>
      <c r="S9">
        <v>8.4434909999999999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"AA_pho_pat_1.4A"</f>
        <v>AA_pho_pat_1.4A</v>
      </c>
      <c r="C1" s="1" t="str">
        <f>"AA_pho_pat_2A"</f>
        <v>AA_pho_pat_2A</v>
      </c>
      <c r="D1" s="1" t="str">
        <f>"AA_pho_pat_3A"</f>
        <v>AA_pho_pat_3A</v>
      </c>
      <c r="E1" s="1" t="str">
        <f>"AA_pho_pat_4A"</f>
        <v>AA_pho_pat_4A</v>
      </c>
      <c r="F1" s="1" t="str">
        <f>"AA_pho_pat_5A"</f>
        <v>AA_pho_pat_5A</v>
      </c>
      <c r="G1" s="1" t="str">
        <f>"AA_pho_pat_6A"</f>
        <v>AA_pho_pat_6A</v>
      </c>
      <c r="H1" s="1" t="str">
        <f>"AA_pho_pat_7A"</f>
        <v>AA_pho_pat_7A</v>
      </c>
      <c r="I1" s="1" t="str">
        <f>"AA_pho_pat_8A"</f>
        <v>AA_pho_pat_8A</v>
      </c>
      <c r="J1" s="1" t="str">
        <f>"AA_pho_pat_9A"</f>
        <v>AA_pho_pat_9A</v>
      </c>
      <c r="K1" s="1" t="str">
        <f>"AA_pho_pat_10A"</f>
        <v>AA_pho_pat_10A</v>
      </c>
      <c r="L1" s="1" t="str">
        <f>"AA_pho_pat_11A"</f>
        <v>AA_pho_pat_11A</v>
      </c>
      <c r="M1" s="1" t="str">
        <f>"AA_pho_pat_12A"</f>
        <v>AA_pho_pat_12A</v>
      </c>
      <c r="N1" s="1" t="str">
        <f>"AA_pho_pat_13A"</f>
        <v>AA_pho_pat_13A</v>
      </c>
      <c r="O1" s="1" t="str">
        <f>"AA_pho_pat_14A"</f>
        <v>AA_pho_pat_14A</v>
      </c>
      <c r="P1" s="1" t="str">
        <f>"AA_pho_pat_15A"</f>
        <v>AA_pho_pat_15A</v>
      </c>
      <c r="Q1" s="1" t="str">
        <f>"AA_pho_pat_16A"</f>
        <v>AA_pho_pat_16A</v>
      </c>
      <c r="R1" s="1" t="str">
        <f>"AA_pho_pat_17A"</f>
        <v>AA_pho_pat_17A</v>
      </c>
      <c r="S1" s="1" t="str">
        <f>"AA_pho_pat_18A"</f>
        <v>AA_pho_pat_18A</v>
      </c>
      <c r="T1" s="1" t="str">
        <f>"AA_pho_pat_19A"</f>
        <v>AA_pho_pat_19A</v>
      </c>
      <c r="U1" s="1" t="str">
        <f>"AA_pho_pat_20A"</f>
        <v>AA_pho_pat_20A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-3.2598227000000001E-3</v>
      </c>
      <c r="C3">
        <v>-3.1840992000000002E-3</v>
      </c>
      <c r="D3">
        <v>-2.8994041E-3</v>
      </c>
      <c r="E3">
        <v>-2.6943916000000002E-3</v>
      </c>
      <c r="F3">
        <v>-2.6417999000000001E-3</v>
      </c>
      <c r="G3">
        <v>-2.3935725999999998E-3</v>
      </c>
      <c r="H3">
        <v>-2.3982269000000001E-3</v>
      </c>
      <c r="I3">
        <v>-2.372084E-3</v>
      </c>
      <c r="J3">
        <v>-2.2567533999999999E-3</v>
      </c>
      <c r="K3">
        <v>-2.1739716E-3</v>
      </c>
      <c r="L3">
        <v>-2.320094E-3</v>
      </c>
      <c r="M3">
        <v>-2.3747843000000001E-3</v>
      </c>
      <c r="N3">
        <v>-2.2449985E-3</v>
      </c>
      <c r="O3">
        <v>-2.2841615E-3</v>
      </c>
      <c r="P3">
        <v>-2.2844448999999999E-3</v>
      </c>
      <c r="Q3">
        <v>-2.2852679E-3</v>
      </c>
      <c r="R3">
        <v>-2.2446943999999999E-3</v>
      </c>
      <c r="S3">
        <v>-2.3291154999999998E-3</v>
      </c>
      <c r="T3">
        <v>-2.3727140000000002E-3</v>
      </c>
      <c r="U3">
        <v>-2.4051010000000002E-3</v>
      </c>
    </row>
    <row r="4" spans="1:24">
      <c r="A4" t="s">
        <v>1</v>
      </c>
      <c r="B4">
        <v>-3.2723416E-3</v>
      </c>
      <c r="C4">
        <v>-3.1985757000000002E-3</v>
      </c>
      <c r="D4">
        <v>-2.9062469999999998E-3</v>
      </c>
      <c r="E4">
        <v>-2.6705072E-3</v>
      </c>
      <c r="F4">
        <v>-2.6064888E-3</v>
      </c>
      <c r="G4">
        <v>-2.4060900000000001E-3</v>
      </c>
      <c r="H4">
        <v>-2.4621299999999999E-3</v>
      </c>
      <c r="I4">
        <v>-2.3429118999999999E-3</v>
      </c>
      <c r="J4">
        <v>-2.345457E-3</v>
      </c>
      <c r="K4">
        <v>-2.2013807E-3</v>
      </c>
      <c r="L4">
        <v>-2.3600038000000001E-3</v>
      </c>
      <c r="M4">
        <v>-2.3683552E-3</v>
      </c>
      <c r="N4">
        <v>-2.2653521E-3</v>
      </c>
      <c r="O4">
        <v>-2.2732210000000002E-3</v>
      </c>
      <c r="P4">
        <v>-2.3324448000000002E-3</v>
      </c>
      <c r="Q4">
        <v>-2.3560043999999998E-3</v>
      </c>
      <c r="R4">
        <v>-2.2707318000000001E-3</v>
      </c>
      <c r="S4">
        <v>-2.3080219999999999E-3</v>
      </c>
      <c r="T4">
        <v>-2.3201342999999998E-3</v>
      </c>
      <c r="U4">
        <v>-2.3394654999999999E-3</v>
      </c>
    </row>
    <row r="5" spans="1:24">
      <c r="A5" t="s">
        <v>2</v>
      </c>
      <c r="B5">
        <v>-3.2585838000000001E-3</v>
      </c>
      <c r="C5">
        <v>-3.1791821E-3</v>
      </c>
      <c r="D5">
        <v>-2.8478616999999999E-3</v>
      </c>
      <c r="E5">
        <v>-2.6131836E-3</v>
      </c>
      <c r="F5">
        <v>-2.5614342000000001E-3</v>
      </c>
      <c r="G5">
        <v>-2.3447505999999998E-3</v>
      </c>
      <c r="H5">
        <v>-2.3423328999999998E-3</v>
      </c>
      <c r="I5">
        <v>-2.2847457000000002E-3</v>
      </c>
      <c r="J5">
        <v>-2.2316725999999999E-3</v>
      </c>
      <c r="K5">
        <v>-2.1423445999999998E-3</v>
      </c>
      <c r="L5">
        <v>-2.3319141000000001E-3</v>
      </c>
      <c r="M5">
        <v>-2.3430954E-3</v>
      </c>
      <c r="N5">
        <v>-2.2202101999999999E-3</v>
      </c>
      <c r="O5">
        <v>-2.2063338999999999E-3</v>
      </c>
      <c r="P5">
        <v>-2.2305291999999998E-3</v>
      </c>
      <c r="Q5">
        <v>-2.2150688E-3</v>
      </c>
      <c r="R5">
        <v>-2.1436641E-3</v>
      </c>
      <c r="S5">
        <v>-2.2506884E-3</v>
      </c>
      <c r="T5">
        <v>-2.3382063999999999E-3</v>
      </c>
      <c r="U5">
        <v>-2.3471133000000002E-3</v>
      </c>
    </row>
    <row r="6" spans="1:24">
      <c r="A6" t="s">
        <v>3</v>
      </c>
      <c r="B6">
        <v>-3.2684181E-3</v>
      </c>
      <c r="C6">
        <v>-3.1973966000000001E-3</v>
      </c>
      <c r="D6">
        <v>-2.9025977000000001E-3</v>
      </c>
      <c r="E6">
        <v>-2.7127033E-3</v>
      </c>
      <c r="F6">
        <v>-2.6333760000000002E-3</v>
      </c>
      <c r="G6">
        <v>-2.3952143000000002E-3</v>
      </c>
      <c r="H6">
        <v>-2.4389049999999999E-3</v>
      </c>
      <c r="I6">
        <v>-2.3452860999999998E-3</v>
      </c>
      <c r="J6">
        <v>-2.2903499E-3</v>
      </c>
      <c r="K6">
        <v>-2.1944366999999999E-3</v>
      </c>
      <c r="L6">
        <v>-2.3353548999999999E-3</v>
      </c>
      <c r="M6">
        <v>-2.3427194000000002E-3</v>
      </c>
      <c r="N6">
        <v>-2.2613523E-3</v>
      </c>
      <c r="O6">
        <v>-2.1993171000000001E-3</v>
      </c>
      <c r="P6">
        <v>-2.2134883000000001E-3</v>
      </c>
      <c r="Q6">
        <v>-2.347586E-3</v>
      </c>
      <c r="R6">
        <v>-2.2974734000000001E-3</v>
      </c>
      <c r="S6">
        <v>-2.3854523999999998E-3</v>
      </c>
      <c r="T6">
        <v>-2.3663744999999998E-3</v>
      </c>
      <c r="U6">
        <v>-2.3674893000000001E-3</v>
      </c>
    </row>
    <row r="7" spans="1:24">
      <c r="A7" t="s">
        <v>4</v>
      </c>
      <c r="B7">
        <v>-3.2356179E-3</v>
      </c>
      <c r="C7">
        <v>-3.1492476999999998E-3</v>
      </c>
      <c r="D7">
        <v>-2.8290785999999998E-3</v>
      </c>
      <c r="E7">
        <v>-2.5586479000000001E-3</v>
      </c>
      <c r="F7">
        <v>-2.5113327E-3</v>
      </c>
      <c r="G7">
        <v>-2.2919872000000002E-3</v>
      </c>
      <c r="H7">
        <v>-2.2591633999999999E-3</v>
      </c>
      <c r="I7">
        <v>-2.2843647999999999E-3</v>
      </c>
      <c r="J7">
        <v>-2.1878168999999999E-3</v>
      </c>
      <c r="K7">
        <v>-2.1635081999999998E-3</v>
      </c>
      <c r="L7">
        <v>-2.3388732000000001E-3</v>
      </c>
      <c r="M7">
        <v>-2.4060635000000001E-3</v>
      </c>
      <c r="N7">
        <v>-2.2894521E-3</v>
      </c>
      <c r="O7">
        <v>-2.2331934999999998E-3</v>
      </c>
      <c r="P7">
        <v>-2.1775216000000002E-3</v>
      </c>
      <c r="Q7">
        <v>-2.2334002E-3</v>
      </c>
      <c r="R7">
        <v>-2.1634568000000001E-3</v>
      </c>
      <c r="S7">
        <v>-2.2024061000000001E-3</v>
      </c>
      <c r="T7">
        <v>-2.2913200999999999E-3</v>
      </c>
      <c r="U7">
        <v>-2.2934677999999998E-3</v>
      </c>
    </row>
    <row r="8" spans="1:24">
      <c r="A8" t="s">
        <v>42</v>
      </c>
      <c r="B8">
        <v>-3.2280617999999998E-3</v>
      </c>
      <c r="C8">
        <v>-3.1548624000000002E-3</v>
      </c>
      <c r="D8">
        <v>-2.8506368E-3</v>
      </c>
      <c r="E8">
        <v>-2.6096341E-3</v>
      </c>
      <c r="F8">
        <v>-2.545163E-3</v>
      </c>
      <c r="G8">
        <v>-2.3128020000000001E-3</v>
      </c>
      <c r="H8">
        <v>-2.3368807000000002E-3</v>
      </c>
      <c r="I8">
        <v>-2.2730951000000002E-3</v>
      </c>
      <c r="J8">
        <v>-2.1891017E-3</v>
      </c>
      <c r="K8">
        <v>-2.1035816E-3</v>
      </c>
      <c r="L8">
        <v>-2.2663361999999999E-3</v>
      </c>
      <c r="M8">
        <v>-2.3441987999999999E-3</v>
      </c>
      <c r="N8">
        <v>-2.1711731999999998E-3</v>
      </c>
      <c r="O8">
        <v>-2.1951409999999998E-3</v>
      </c>
      <c r="P8">
        <v>-2.2113824000000002E-3</v>
      </c>
      <c r="Q8">
        <v>-2.2366858999999998E-3</v>
      </c>
      <c r="R8">
        <v>-2.2028540000000002E-3</v>
      </c>
      <c r="S8">
        <v>-2.3043453999999999E-3</v>
      </c>
      <c r="T8">
        <v>-2.3485580000000002E-3</v>
      </c>
      <c r="U8">
        <v>-2.3272560999999998E-3</v>
      </c>
    </row>
    <row r="9" spans="1:24">
      <c r="A9" t="s">
        <v>5</v>
      </c>
      <c r="B9">
        <v>-3.3310293000000002E-3</v>
      </c>
      <c r="C9">
        <v>-3.2665413000000001E-3</v>
      </c>
      <c r="D9">
        <v>-2.9963194E-3</v>
      </c>
      <c r="E9">
        <v>-2.7844306999999999E-3</v>
      </c>
      <c r="F9">
        <v>-2.7607284000000002E-3</v>
      </c>
      <c r="G9">
        <v>-2.58844E-3</v>
      </c>
      <c r="H9">
        <v>-2.6153978E-3</v>
      </c>
      <c r="I9">
        <v>-2.5157501999999998E-3</v>
      </c>
      <c r="J9">
        <v>-2.4591094999999999E-3</v>
      </c>
      <c r="K9">
        <v>-2.3586443000000001E-3</v>
      </c>
      <c r="L9">
        <v>-2.4691626999999998E-3</v>
      </c>
      <c r="M9">
        <v>-2.4047610000000001E-3</v>
      </c>
      <c r="N9">
        <v>-2.2461221000000002E-3</v>
      </c>
      <c r="O9">
        <v>-2.2773359E-3</v>
      </c>
      <c r="P9">
        <v>-2.3077220999999999E-3</v>
      </c>
      <c r="Q9">
        <v>-2.3269330000000002E-3</v>
      </c>
      <c r="R9">
        <v>-2.3176681999999998E-3</v>
      </c>
      <c r="S9">
        <v>-2.2450711E-3</v>
      </c>
      <c r="T9">
        <v>-2.2870309000000001E-3</v>
      </c>
      <c r="U9">
        <v>-2.2842525999999998E-3</v>
      </c>
    </row>
    <row r="10" spans="1:24">
      <c r="A10" t="s">
        <v>6</v>
      </c>
      <c r="B10">
        <v>-3.3381639999999998E-3</v>
      </c>
      <c r="C10">
        <v>-3.2790142999999999E-3</v>
      </c>
      <c r="D10">
        <v>-3.0089854000000002E-3</v>
      </c>
      <c r="E10">
        <v>-2.7949396E-3</v>
      </c>
      <c r="F10">
        <v>-2.7320322000000002E-3</v>
      </c>
      <c r="G10">
        <v>-2.5597224000000001E-3</v>
      </c>
      <c r="H10">
        <v>-2.5298737E-3</v>
      </c>
      <c r="I10">
        <v>-2.532776E-3</v>
      </c>
      <c r="J10">
        <v>-2.4737172999999999E-3</v>
      </c>
      <c r="K10">
        <v>-2.2944910000000001E-3</v>
      </c>
      <c r="L10">
        <v>-2.3265667000000002E-3</v>
      </c>
      <c r="M10">
        <v>-2.3103438000000001E-3</v>
      </c>
      <c r="N10">
        <v>-2.1716502999999999E-3</v>
      </c>
      <c r="O10">
        <v>-2.1606109000000002E-3</v>
      </c>
      <c r="P10">
        <v>-2.1612536999999999E-3</v>
      </c>
      <c r="Q10">
        <v>-2.167857E-3</v>
      </c>
      <c r="R10">
        <v>-2.1660453999999998E-3</v>
      </c>
      <c r="S10">
        <v>-2.2032743E-3</v>
      </c>
      <c r="T10">
        <v>-2.2708174999999998E-3</v>
      </c>
      <c r="U10">
        <v>-2.2684073000000002E-3</v>
      </c>
    </row>
  </sheetData>
  <phoneticPr fontId="0" type="noConversion"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91"/>
  <dimension ref="A1:S9"/>
  <sheetViews>
    <sheetView zoomScaleNormal="100"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353.25299999999999</v>
      </c>
      <c r="D2">
        <v>93.50806</v>
      </c>
      <c r="E2">
        <v>1.5617209999999999</v>
      </c>
      <c r="F2">
        <v>1.6701457999999999E-2</v>
      </c>
      <c r="G2">
        <v>259.74459999999999</v>
      </c>
      <c r="H2">
        <v>-2.0199090000000002</v>
      </c>
      <c r="I2">
        <v>-7.7765192999999996E-3</v>
      </c>
      <c r="J2">
        <v>-0.45818779999999998</v>
      </c>
      <c r="K2">
        <v>-1.2970528E-3</v>
      </c>
      <c r="L2">
        <v>340.09789999999998</v>
      </c>
      <c r="M2">
        <v>2.2593489000000001E-2</v>
      </c>
      <c r="N2">
        <v>5.3213284999999999E-3</v>
      </c>
      <c r="O2">
        <v>13.154999999999999</v>
      </c>
      <c r="P2">
        <v>-9.5555213999999992E-3</v>
      </c>
      <c r="Q2">
        <v>-2.2446943999999999E-3</v>
      </c>
      <c r="R2">
        <v>-0.12570290000000001</v>
      </c>
      <c r="S2">
        <v>7.6839979999999999</v>
      </c>
    </row>
    <row r="3" spans="1:19">
      <c r="A3" t="s">
        <v>1</v>
      </c>
      <c r="B3">
        <v>4368</v>
      </c>
      <c r="C3">
        <v>360.20929999999998</v>
      </c>
      <c r="D3">
        <v>95.785070000000005</v>
      </c>
      <c r="E3">
        <v>1.599356</v>
      </c>
      <c r="F3">
        <v>1.6697340000000001E-2</v>
      </c>
      <c r="G3">
        <v>264.4237</v>
      </c>
      <c r="H3">
        <v>-2.090195</v>
      </c>
      <c r="I3">
        <v>-7.9047205000000002E-3</v>
      </c>
      <c r="J3">
        <v>-0.49083959999999999</v>
      </c>
      <c r="K3">
        <v>-1.3626510999999999E-3</v>
      </c>
      <c r="L3">
        <v>345.89929999999998</v>
      </c>
      <c r="M3">
        <v>2.2652683999999999E-2</v>
      </c>
      <c r="N3">
        <v>5.3375666000000004E-3</v>
      </c>
      <c r="O3">
        <v>14.31</v>
      </c>
      <c r="P3">
        <v>-9.6795699000000006E-3</v>
      </c>
      <c r="Q3">
        <v>-2.2707318000000001E-3</v>
      </c>
      <c r="R3">
        <v>-0.13851459999999999</v>
      </c>
      <c r="S3">
        <v>7.8355480000000002</v>
      </c>
    </row>
    <row r="4" spans="1:19">
      <c r="A4" t="s">
        <v>2</v>
      </c>
      <c r="B4">
        <v>4368</v>
      </c>
      <c r="C4">
        <v>356.19009999999997</v>
      </c>
      <c r="D4">
        <v>95.75103</v>
      </c>
      <c r="E4">
        <v>1.420013</v>
      </c>
      <c r="F4">
        <v>1.4830261000000001E-2</v>
      </c>
      <c r="G4">
        <v>260.43860000000001</v>
      </c>
      <c r="H4">
        <v>-2.0523069999999999</v>
      </c>
      <c r="I4">
        <v>-7.8801960000000008E-3</v>
      </c>
      <c r="J4">
        <v>-0.63229449999999998</v>
      </c>
      <c r="K4">
        <v>-1.7751602999999999E-3</v>
      </c>
      <c r="L4">
        <v>341.06400000000002</v>
      </c>
      <c r="M4">
        <v>2.2699878999999999E-2</v>
      </c>
      <c r="N4">
        <v>5.3393868999999997E-3</v>
      </c>
      <c r="O4">
        <v>15.125999999999999</v>
      </c>
      <c r="P4">
        <v>-9.0701114000000006E-3</v>
      </c>
      <c r="Q4">
        <v>-2.1436641E-3</v>
      </c>
      <c r="R4">
        <v>-0.1371945</v>
      </c>
      <c r="S4">
        <v>7.7421110000000004</v>
      </c>
    </row>
    <row r="5" spans="1:19">
      <c r="A5" t="s">
        <v>3</v>
      </c>
      <c r="B5">
        <v>4376</v>
      </c>
      <c r="C5">
        <v>349.87830000000002</v>
      </c>
      <c r="D5">
        <v>93.175030000000007</v>
      </c>
      <c r="E5">
        <v>1.546133</v>
      </c>
      <c r="F5">
        <v>1.6593851E-2</v>
      </c>
      <c r="G5">
        <v>256.70260000000002</v>
      </c>
      <c r="H5">
        <v>-1.986904</v>
      </c>
      <c r="I5">
        <v>-7.7401012999999998E-3</v>
      </c>
      <c r="J5">
        <v>-0.44077159999999999</v>
      </c>
      <c r="K5">
        <v>-1.2597853999999999E-3</v>
      </c>
      <c r="L5">
        <v>336.30410000000001</v>
      </c>
      <c r="M5">
        <v>2.2459377999999999E-2</v>
      </c>
      <c r="N5">
        <v>5.2930494000000003E-3</v>
      </c>
      <c r="O5">
        <v>13.574</v>
      </c>
      <c r="P5">
        <v>-9.8168150999999992E-3</v>
      </c>
      <c r="Q5">
        <v>-2.2974734000000001E-3</v>
      </c>
      <c r="R5">
        <v>-0.1332535</v>
      </c>
      <c r="S5">
        <v>7.5531810000000004</v>
      </c>
    </row>
    <row r="6" spans="1:19">
      <c r="A6" t="s">
        <v>4</v>
      </c>
      <c r="B6">
        <v>4382</v>
      </c>
      <c r="C6">
        <v>359.358</v>
      </c>
      <c r="D6">
        <v>90.811019999999999</v>
      </c>
      <c r="E6">
        <v>1.3857010000000001</v>
      </c>
      <c r="F6">
        <v>1.5259175E-2</v>
      </c>
      <c r="G6">
        <v>268.54700000000003</v>
      </c>
      <c r="H6">
        <v>-2.0058590000000001</v>
      </c>
      <c r="I6">
        <v>-7.4693038999999999E-3</v>
      </c>
      <c r="J6">
        <v>-0.62015770000000003</v>
      </c>
      <c r="K6">
        <v>-1.7257379000000001E-3</v>
      </c>
      <c r="L6">
        <v>344.08690000000001</v>
      </c>
      <c r="M6">
        <v>2.2544956000000001E-2</v>
      </c>
      <c r="N6">
        <v>5.3060353000000003E-3</v>
      </c>
      <c r="O6">
        <v>15.271000000000001</v>
      </c>
      <c r="P6">
        <v>-9.2086093999999997E-3</v>
      </c>
      <c r="Q6">
        <v>-2.1634568000000001E-3</v>
      </c>
      <c r="R6">
        <v>-0.14062469999999999</v>
      </c>
      <c r="S6">
        <v>7.7574240000000003</v>
      </c>
    </row>
    <row r="7" spans="1:19">
      <c r="A7" t="s">
        <v>42</v>
      </c>
      <c r="B7">
        <v>4382</v>
      </c>
      <c r="C7">
        <v>353.50470000000001</v>
      </c>
      <c r="D7">
        <v>96.134010000000004</v>
      </c>
      <c r="E7">
        <v>1.5676810000000001</v>
      </c>
      <c r="F7">
        <v>1.6307248E-2</v>
      </c>
      <c r="G7">
        <v>257.37090000000001</v>
      </c>
      <c r="H7">
        <v>-2.0557919999999998</v>
      </c>
      <c r="I7">
        <v>-7.9876631000000003E-3</v>
      </c>
      <c r="J7">
        <v>-0.48811080000000001</v>
      </c>
      <c r="K7">
        <v>-1.3807757999999999E-3</v>
      </c>
      <c r="L7">
        <v>339.18740000000003</v>
      </c>
      <c r="M7">
        <v>2.2673150999999999E-2</v>
      </c>
      <c r="N7">
        <v>5.3443001000000002E-3</v>
      </c>
      <c r="O7">
        <v>14.317</v>
      </c>
      <c r="P7">
        <v>-9.3856323999999998E-3</v>
      </c>
      <c r="Q7">
        <v>-2.2028540000000002E-3</v>
      </c>
      <c r="R7">
        <v>-0.1343741</v>
      </c>
      <c r="S7">
        <v>7.690448</v>
      </c>
    </row>
    <row r="8" spans="1:19">
      <c r="A8" t="s">
        <v>5</v>
      </c>
      <c r="B8">
        <v>4386</v>
      </c>
      <c r="C8">
        <v>355.92290000000003</v>
      </c>
      <c r="D8">
        <v>88.917100000000005</v>
      </c>
      <c r="E8">
        <v>1.3041640000000001</v>
      </c>
      <c r="F8">
        <v>1.4667192000000001E-2</v>
      </c>
      <c r="G8">
        <v>267.00569999999999</v>
      </c>
      <c r="H8">
        <v>-2.096848</v>
      </c>
      <c r="I8">
        <v>-7.8531941000000004E-3</v>
      </c>
      <c r="J8">
        <v>-0.79268340000000004</v>
      </c>
      <c r="K8">
        <v>-2.2271207999999998E-3</v>
      </c>
      <c r="L8">
        <v>339.68979999999999</v>
      </c>
      <c r="M8">
        <v>2.2707146000000001E-2</v>
      </c>
      <c r="N8">
        <v>5.3453826999999999E-3</v>
      </c>
      <c r="O8">
        <v>16.233000000000001</v>
      </c>
      <c r="P8">
        <v>-9.8514818000000007E-3</v>
      </c>
      <c r="Q8">
        <v>-2.3176681999999998E-3</v>
      </c>
      <c r="R8">
        <v>-0.15991910000000001</v>
      </c>
      <c r="S8">
        <v>7.713387</v>
      </c>
    </row>
    <row r="9" spans="1:19">
      <c r="A9" t="s">
        <v>6</v>
      </c>
      <c r="B9">
        <v>4386</v>
      </c>
      <c r="C9">
        <v>354.87779999999998</v>
      </c>
      <c r="D9">
        <v>94.383099999999999</v>
      </c>
      <c r="E9">
        <v>1.5212330000000001</v>
      </c>
      <c r="F9">
        <v>1.6117638E-2</v>
      </c>
      <c r="G9">
        <v>260.49489999999997</v>
      </c>
      <c r="H9">
        <v>-1.9798990000000001</v>
      </c>
      <c r="I9">
        <v>-7.6005296000000002E-3</v>
      </c>
      <c r="J9">
        <v>-0.45866620000000002</v>
      </c>
      <c r="K9">
        <v>-1.2924621999999999E-3</v>
      </c>
      <c r="L9">
        <v>340.81380000000001</v>
      </c>
      <c r="M9">
        <v>2.2707727E-2</v>
      </c>
      <c r="N9">
        <v>5.3409976000000003E-3</v>
      </c>
      <c r="O9">
        <v>14.064</v>
      </c>
      <c r="P9">
        <v>-9.2408079999999997E-3</v>
      </c>
      <c r="Q9">
        <v>-2.1660453999999998E-3</v>
      </c>
      <c r="R9">
        <v>-0.12996269999999999</v>
      </c>
      <c r="S9">
        <v>7.7391059999999996</v>
      </c>
    </row>
  </sheetData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92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332.47399999999999</v>
      </c>
      <c r="D2">
        <v>88.180080000000004</v>
      </c>
      <c r="E2">
        <v>1.48146</v>
      </c>
      <c r="F2">
        <v>1.6800394E-2</v>
      </c>
      <c r="G2">
        <v>244.29349999999999</v>
      </c>
      <c r="H2">
        <v>-1.8903920000000001</v>
      </c>
      <c r="I2">
        <v>-7.7382023000000001E-3</v>
      </c>
      <c r="J2">
        <v>-0.40893220000000002</v>
      </c>
      <c r="K2">
        <v>-1.2299676E-3</v>
      </c>
      <c r="L2">
        <v>320.04399999999998</v>
      </c>
      <c r="M2">
        <v>2.2697835999999999E-2</v>
      </c>
      <c r="N2">
        <v>5.3453323999999997E-3</v>
      </c>
      <c r="O2">
        <v>12.43</v>
      </c>
      <c r="P2">
        <v>-9.9310632999999992E-3</v>
      </c>
      <c r="Q2">
        <v>-2.3291154999999998E-3</v>
      </c>
      <c r="R2">
        <v>-0.1234431</v>
      </c>
      <c r="S2">
        <v>7.2643069999999996</v>
      </c>
    </row>
    <row r="3" spans="1:19">
      <c r="A3" t="s">
        <v>1</v>
      </c>
      <c r="B3">
        <v>4368</v>
      </c>
      <c r="C3">
        <v>341.22629999999998</v>
      </c>
      <c r="D3">
        <v>90.623019999999997</v>
      </c>
      <c r="E3">
        <v>1.5169710000000001</v>
      </c>
      <c r="F3">
        <v>1.6739351999999999E-2</v>
      </c>
      <c r="G3">
        <v>250.6026</v>
      </c>
      <c r="H3">
        <v>-1.9746440000000001</v>
      </c>
      <c r="I3">
        <v>-7.8795859999999992E-3</v>
      </c>
      <c r="J3">
        <v>-0.45767380000000002</v>
      </c>
      <c r="K3">
        <v>-1.3412617000000001E-3</v>
      </c>
      <c r="L3">
        <v>328.33629999999999</v>
      </c>
      <c r="M3">
        <v>2.2874243999999998E-2</v>
      </c>
      <c r="N3">
        <v>5.3993128000000001E-3</v>
      </c>
      <c r="O3">
        <v>12.89</v>
      </c>
      <c r="P3">
        <v>-9.8480367999999995E-3</v>
      </c>
      <c r="Q3">
        <v>-2.3080219999999999E-3</v>
      </c>
      <c r="R3">
        <v>-0.1269412</v>
      </c>
      <c r="S3">
        <v>7.5104439999999997</v>
      </c>
    </row>
    <row r="4" spans="1:19">
      <c r="A4" t="s">
        <v>2</v>
      </c>
      <c r="B4">
        <v>4368</v>
      </c>
      <c r="C4">
        <v>335.06099999999998</v>
      </c>
      <c r="D4">
        <v>88.762039999999999</v>
      </c>
      <c r="E4">
        <v>1.3380259999999999</v>
      </c>
      <c r="F4">
        <v>1.5074308999999999E-2</v>
      </c>
      <c r="G4">
        <v>246.2987</v>
      </c>
      <c r="H4">
        <v>-1.923905</v>
      </c>
      <c r="I4">
        <v>-7.8112692999999997E-3</v>
      </c>
      <c r="J4">
        <v>-0.58587909999999999</v>
      </c>
      <c r="K4">
        <v>-1.7485744000000001E-3</v>
      </c>
      <c r="L4">
        <v>321.3519</v>
      </c>
      <c r="M4">
        <v>2.2762378999999999E-2</v>
      </c>
      <c r="N4">
        <v>5.398328E-3</v>
      </c>
      <c r="O4">
        <v>13.709</v>
      </c>
      <c r="P4">
        <v>-9.5222080000000008E-3</v>
      </c>
      <c r="Q4">
        <v>-2.2506884E-3</v>
      </c>
      <c r="R4">
        <v>-0.13053989999999999</v>
      </c>
      <c r="S4">
        <v>7.3147339999999996</v>
      </c>
    </row>
    <row r="5" spans="1:19">
      <c r="A5" t="s">
        <v>3</v>
      </c>
      <c r="B5">
        <v>4376</v>
      </c>
      <c r="C5">
        <v>331.9821</v>
      </c>
      <c r="D5">
        <v>88.481039999999993</v>
      </c>
      <c r="E5">
        <v>1.459211</v>
      </c>
      <c r="F5">
        <v>1.6491788E-2</v>
      </c>
      <c r="G5">
        <v>243.50049999999999</v>
      </c>
      <c r="H5">
        <v>-1.8881349999999999</v>
      </c>
      <c r="I5">
        <v>-7.7541334999999996E-3</v>
      </c>
      <c r="J5">
        <v>-0.42892459999999999</v>
      </c>
      <c r="K5">
        <v>-1.292011E-3</v>
      </c>
      <c r="L5">
        <v>319.11200000000002</v>
      </c>
      <c r="M5">
        <v>2.2618118999999999E-2</v>
      </c>
      <c r="N5">
        <v>5.3345998999999996E-3</v>
      </c>
      <c r="O5">
        <v>12.87</v>
      </c>
      <c r="P5">
        <v>-1.019424E-2</v>
      </c>
      <c r="Q5">
        <v>-2.3854523999999998E-3</v>
      </c>
      <c r="R5">
        <v>-0.13119990000000001</v>
      </c>
      <c r="S5">
        <v>7.2177129999999998</v>
      </c>
    </row>
    <row r="6" spans="1:19">
      <c r="A6" t="s">
        <v>4</v>
      </c>
      <c r="B6">
        <v>4382</v>
      </c>
      <c r="C6">
        <v>339.04669999999999</v>
      </c>
      <c r="D6">
        <v>86.049959999999999</v>
      </c>
      <c r="E6">
        <v>1.3199369999999999</v>
      </c>
      <c r="F6">
        <v>1.5339192999999999E-2</v>
      </c>
      <c r="G6">
        <v>252.99700000000001</v>
      </c>
      <c r="H6">
        <v>-1.881966</v>
      </c>
      <c r="I6">
        <v>-7.4386918000000002E-3</v>
      </c>
      <c r="J6">
        <v>-0.56202949999999996</v>
      </c>
      <c r="K6">
        <v>-1.6576757E-3</v>
      </c>
      <c r="L6">
        <v>324.25490000000002</v>
      </c>
      <c r="M6">
        <v>2.2851092999999999E-2</v>
      </c>
      <c r="N6">
        <v>5.4084518999999998E-3</v>
      </c>
      <c r="O6">
        <v>14.792</v>
      </c>
      <c r="P6">
        <v>-9.3801756999999999E-3</v>
      </c>
      <c r="Q6">
        <v>-2.2024061000000001E-3</v>
      </c>
      <c r="R6">
        <v>-0.1387516</v>
      </c>
      <c r="S6">
        <v>7.4095789999999999</v>
      </c>
    </row>
    <row r="7" spans="1:19">
      <c r="A7" t="s">
        <v>42</v>
      </c>
      <c r="B7">
        <v>4382</v>
      </c>
      <c r="C7">
        <v>332.589</v>
      </c>
      <c r="D7">
        <v>90.184049999999999</v>
      </c>
      <c r="E7">
        <v>1.451676</v>
      </c>
      <c r="F7">
        <v>1.6096814000000001E-2</v>
      </c>
      <c r="G7">
        <v>242.40469999999999</v>
      </c>
      <c r="H7">
        <v>-1.9254070000000001</v>
      </c>
      <c r="I7">
        <v>-7.9429428999999996E-3</v>
      </c>
      <c r="J7">
        <v>-0.4737307</v>
      </c>
      <c r="K7">
        <v>-1.4243728E-3</v>
      </c>
      <c r="L7">
        <v>319.71690000000001</v>
      </c>
      <c r="M7">
        <v>2.2568781E-2</v>
      </c>
      <c r="N7">
        <v>5.3173331999999997E-3</v>
      </c>
      <c r="O7">
        <v>12.872</v>
      </c>
      <c r="P7">
        <v>-9.8460969000000002E-3</v>
      </c>
      <c r="Q7">
        <v>-2.3043453999999999E-3</v>
      </c>
      <c r="R7">
        <v>-0.12673899999999999</v>
      </c>
      <c r="S7">
        <v>7.2156209999999996</v>
      </c>
    </row>
    <row r="8" spans="1:19">
      <c r="A8" t="s">
        <v>5</v>
      </c>
      <c r="B8">
        <v>4386</v>
      </c>
      <c r="C8">
        <v>332.4187</v>
      </c>
      <c r="D8">
        <v>82.600989999999996</v>
      </c>
      <c r="E8">
        <v>1.2119439999999999</v>
      </c>
      <c r="F8">
        <v>1.4672269E-2</v>
      </c>
      <c r="G8">
        <v>249.81790000000001</v>
      </c>
      <c r="H8">
        <v>-1.9462269999999999</v>
      </c>
      <c r="I8">
        <v>-7.7905837E-3</v>
      </c>
      <c r="J8">
        <v>-0.73428309999999997</v>
      </c>
      <c r="K8">
        <v>-2.2089102000000002E-3</v>
      </c>
      <c r="L8">
        <v>318.34190000000001</v>
      </c>
      <c r="M8">
        <v>2.2777599999999999E-2</v>
      </c>
      <c r="N8">
        <v>5.4112411999999999E-3</v>
      </c>
      <c r="O8">
        <v>14.077</v>
      </c>
      <c r="P8">
        <v>-9.5691019999999995E-3</v>
      </c>
      <c r="Q8">
        <v>-2.2450711E-3</v>
      </c>
      <c r="R8">
        <v>-0.1347043</v>
      </c>
      <c r="S8">
        <v>7.2510630000000003</v>
      </c>
    </row>
    <row r="9" spans="1:19">
      <c r="A9" t="s">
        <v>6</v>
      </c>
      <c r="B9">
        <v>4386</v>
      </c>
      <c r="C9">
        <v>335.00799999999998</v>
      </c>
      <c r="D9">
        <v>89.700959999999995</v>
      </c>
      <c r="E9">
        <v>1.4363360000000001</v>
      </c>
      <c r="F9">
        <v>1.6012487999999998E-2</v>
      </c>
      <c r="G9">
        <v>245.30690000000001</v>
      </c>
      <c r="H9">
        <v>-1.8471569999999999</v>
      </c>
      <c r="I9">
        <v>-7.5299861000000003E-3</v>
      </c>
      <c r="J9">
        <v>-0.41082180000000001</v>
      </c>
      <c r="K9">
        <v>-1.2263044E-3</v>
      </c>
      <c r="L9">
        <v>321.6651</v>
      </c>
      <c r="M9">
        <v>2.2776289000000002E-2</v>
      </c>
      <c r="N9">
        <v>5.3949467999999997E-3</v>
      </c>
      <c r="O9">
        <v>13.343</v>
      </c>
      <c r="P9">
        <v>-9.4121712999999992E-3</v>
      </c>
      <c r="Q9">
        <v>-2.2032743E-3</v>
      </c>
      <c r="R9">
        <v>-0.12558659999999999</v>
      </c>
      <c r="S9">
        <v>7.3263379999999998</v>
      </c>
    </row>
  </sheetData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93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312.31240000000003</v>
      </c>
      <c r="D2">
        <v>85.008009999999999</v>
      </c>
      <c r="E2">
        <v>1.4123060000000001</v>
      </c>
      <c r="F2">
        <v>1.6613796E-2</v>
      </c>
      <c r="G2">
        <v>227.30420000000001</v>
      </c>
      <c r="H2">
        <v>-1.775201</v>
      </c>
      <c r="I2">
        <v>-7.8098029000000001E-3</v>
      </c>
      <c r="J2">
        <v>-0.36289510000000003</v>
      </c>
      <c r="K2">
        <v>-1.1619619000000001E-3</v>
      </c>
      <c r="L2">
        <v>300.37639999999999</v>
      </c>
      <c r="M2">
        <v>2.2489184999999998E-2</v>
      </c>
      <c r="N2">
        <v>5.3485516000000002E-3</v>
      </c>
      <c r="O2">
        <v>11.936</v>
      </c>
      <c r="P2">
        <v>-1.0138103000000001E-2</v>
      </c>
      <c r="Q2">
        <v>-2.3727140000000002E-3</v>
      </c>
      <c r="R2">
        <v>-0.1210084</v>
      </c>
      <c r="S2">
        <v>6.7552199999999996</v>
      </c>
    </row>
    <row r="3" spans="1:19">
      <c r="A3" t="s">
        <v>1</v>
      </c>
      <c r="B3">
        <v>4368</v>
      </c>
      <c r="C3">
        <v>316.64580000000001</v>
      </c>
      <c r="D3">
        <v>85.963949999999997</v>
      </c>
      <c r="E3">
        <v>1.42418</v>
      </c>
      <c r="F3">
        <v>1.6567174E-2</v>
      </c>
      <c r="G3">
        <v>230.68100000000001</v>
      </c>
      <c r="H3">
        <v>-1.829243</v>
      </c>
      <c r="I3">
        <v>-7.9297507E-3</v>
      </c>
      <c r="J3">
        <v>-0.40506340000000002</v>
      </c>
      <c r="K3">
        <v>-1.2792317000000001E-3</v>
      </c>
      <c r="L3">
        <v>304.72370000000001</v>
      </c>
      <c r="M3">
        <v>2.2798331000000002E-2</v>
      </c>
      <c r="N3">
        <v>5.4317367999999998E-3</v>
      </c>
      <c r="O3">
        <v>11.922000000000001</v>
      </c>
      <c r="P3">
        <v>-9.9250823000000005E-3</v>
      </c>
      <c r="Q3">
        <v>-2.3201342999999998E-3</v>
      </c>
      <c r="R3">
        <v>-0.1183269</v>
      </c>
      <c r="S3">
        <v>6.9471910000000001</v>
      </c>
    </row>
    <row r="4" spans="1:19">
      <c r="A4" t="s">
        <v>2</v>
      </c>
      <c r="B4">
        <v>4368</v>
      </c>
      <c r="C4">
        <v>316.50850000000003</v>
      </c>
      <c r="D4">
        <v>85.043940000000006</v>
      </c>
      <c r="E4">
        <v>1.2865549999999999</v>
      </c>
      <c r="F4">
        <v>1.5128126E-2</v>
      </c>
      <c r="G4">
        <v>231.4641</v>
      </c>
      <c r="H4">
        <v>-1.8067930000000001</v>
      </c>
      <c r="I4">
        <v>-7.8059304999999997E-3</v>
      </c>
      <c r="J4">
        <v>-0.52023739999999996</v>
      </c>
      <c r="K4">
        <v>-1.6436762E-3</v>
      </c>
      <c r="L4">
        <v>303.53570000000002</v>
      </c>
      <c r="M4">
        <v>2.2853417000000001E-2</v>
      </c>
      <c r="N4">
        <v>5.4321279999999996E-3</v>
      </c>
      <c r="O4">
        <v>12.973000000000001</v>
      </c>
      <c r="P4">
        <v>-9.9129992999999993E-3</v>
      </c>
      <c r="Q4">
        <v>-2.3382063999999999E-3</v>
      </c>
      <c r="R4">
        <v>-0.1286014</v>
      </c>
      <c r="S4">
        <v>6.9368280000000002</v>
      </c>
    </row>
    <row r="5" spans="1:19">
      <c r="A5" t="s">
        <v>3</v>
      </c>
      <c r="B5">
        <v>4376</v>
      </c>
      <c r="C5">
        <v>310.22570000000002</v>
      </c>
      <c r="D5">
        <v>85.570009999999996</v>
      </c>
      <c r="E5">
        <v>1.417144</v>
      </c>
      <c r="F5">
        <v>1.6561218999999999E-2</v>
      </c>
      <c r="G5">
        <v>224.65520000000001</v>
      </c>
      <c r="H5">
        <v>-1.775334</v>
      </c>
      <c r="I5">
        <v>-7.9024816000000005E-3</v>
      </c>
      <c r="J5">
        <v>-0.35819010000000001</v>
      </c>
      <c r="K5">
        <v>-1.154611E-3</v>
      </c>
      <c r="L5">
        <v>298.32080000000002</v>
      </c>
      <c r="M5">
        <v>2.2665768999999999E-2</v>
      </c>
      <c r="N5">
        <v>5.3834952000000004E-3</v>
      </c>
      <c r="O5">
        <v>11.904999999999999</v>
      </c>
      <c r="P5">
        <v>-1.0137344E-2</v>
      </c>
      <c r="Q5">
        <v>-2.3663744999999998E-3</v>
      </c>
      <c r="R5">
        <v>-0.1206851</v>
      </c>
      <c r="S5">
        <v>6.7616699999999996</v>
      </c>
    </row>
    <row r="6" spans="1:19">
      <c r="A6" t="s">
        <v>4</v>
      </c>
      <c r="B6">
        <v>4382</v>
      </c>
      <c r="C6">
        <v>318.9504</v>
      </c>
      <c r="D6">
        <v>82.051959999999994</v>
      </c>
      <c r="E6">
        <v>1.241055</v>
      </c>
      <c r="F6">
        <v>1.5125232000000001E-2</v>
      </c>
      <c r="G6">
        <v>236.898</v>
      </c>
      <c r="H6">
        <v>-1.7621150000000001</v>
      </c>
      <c r="I6">
        <v>-7.4382843000000004E-3</v>
      </c>
      <c r="J6">
        <v>-0.52105990000000002</v>
      </c>
      <c r="K6">
        <v>-1.6336706E-3</v>
      </c>
      <c r="L6">
        <v>305.15260000000001</v>
      </c>
      <c r="M6">
        <v>2.2578933999999998E-2</v>
      </c>
      <c r="N6">
        <v>5.3786258E-3</v>
      </c>
      <c r="O6">
        <v>13.798</v>
      </c>
      <c r="P6">
        <v>-9.7976456999999996E-3</v>
      </c>
      <c r="Q6">
        <v>-2.2913200999999999E-3</v>
      </c>
      <c r="R6">
        <v>-0.1351879</v>
      </c>
      <c r="S6">
        <v>6.8900189999999997</v>
      </c>
    </row>
    <row r="7" spans="1:19">
      <c r="A7" t="s">
        <v>42</v>
      </c>
      <c r="B7">
        <v>4382</v>
      </c>
      <c r="C7">
        <v>311.02449999999999</v>
      </c>
      <c r="D7">
        <v>87.054029999999997</v>
      </c>
      <c r="E7">
        <v>1.3879509999999999</v>
      </c>
      <c r="F7">
        <v>1.5943552999999999E-2</v>
      </c>
      <c r="G7">
        <v>223.9701</v>
      </c>
      <c r="H7">
        <v>-1.78799</v>
      </c>
      <c r="I7">
        <v>-7.9831620999999998E-3</v>
      </c>
      <c r="J7">
        <v>-0.40003939999999999</v>
      </c>
      <c r="K7">
        <v>-1.286199E-3</v>
      </c>
      <c r="L7">
        <v>298.89139999999998</v>
      </c>
      <c r="M7">
        <v>2.2438465000000001E-2</v>
      </c>
      <c r="N7">
        <v>5.3653307000000004E-3</v>
      </c>
      <c r="O7">
        <v>12.132999999999999</v>
      </c>
      <c r="P7">
        <v>-1.0065523999999999E-2</v>
      </c>
      <c r="Q7">
        <v>-2.3485580000000002E-3</v>
      </c>
      <c r="R7">
        <v>-0.122125</v>
      </c>
      <c r="S7">
        <v>6.7066629999999998</v>
      </c>
    </row>
    <row r="8" spans="1:19">
      <c r="A8" t="s">
        <v>5</v>
      </c>
      <c r="B8">
        <v>4386</v>
      </c>
      <c r="C8">
        <v>314.32569999999998</v>
      </c>
      <c r="D8">
        <v>78.881990000000002</v>
      </c>
      <c r="E8">
        <v>1.156714</v>
      </c>
      <c r="F8">
        <v>1.4663860000000001E-2</v>
      </c>
      <c r="G8">
        <v>235.44290000000001</v>
      </c>
      <c r="H8">
        <v>-1.8296669999999999</v>
      </c>
      <c r="I8">
        <v>-7.7711687999999996E-3</v>
      </c>
      <c r="J8">
        <v>-0.67295229999999995</v>
      </c>
      <c r="K8">
        <v>-2.1409396999999999E-3</v>
      </c>
      <c r="L8">
        <v>300.75839999999999</v>
      </c>
      <c r="M8">
        <v>2.2620494000000001E-2</v>
      </c>
      <c r="N8">
        <v>5.3908908999999996E-3</v>
      </c>
      <c r="O8">
        <v>13.567</v>
      </c>
      <c r="P8">
        <v>-9.7772394999999998E-3</v>
      </c>
      <c r="Q8">
        <v>-2.2870309000000001E-3</v>
      </c>
      <c r="R8">
        <v>-0.13264780000000001</v>
      </c>
      <c r="S8">
        <v>6.8033039999999998</v>
      </c>
    </row>
    <row r="9" spans="1:19">
      <c r="A9" t="s">
        <v>6</v>
      </c>
      <c r="B9">
        <v>4386</v>
      </c>
      <c r="C9">
        <v>317.39760000000001</v>
      </c>
      <c r="D9">
        <v>85.965959999999995</v>
      </c>
      <c r="E9">
        <v>1.3651120000000001</v>
      </c>
      <c r="F9">
        <v>1.5879675999999999E-2</v>
      </c>
      <c r="G9">
        <v>231.43109999999999</v>
      </c>
      <c r="H9">
        <v>-1.739422</v>
      </c>
      <c r="I9">
        <v>-7.5159379999999998E-3</v>
      </c>
      <c r="J9">
        <v>-0.37430999999999998</v>
      </c>
      <c r="K9">
        <v>-1.1793096999999999E-3</v>
      </c>
      <c r="L9">
        <v>304.3227</v>
      </c>
      <c r="M9">
        <v>2.2527801E-2</v>
      </c>
      <c r="N9">
        <v>5.3602195999999996E-3</v>
      </c>
      <c r="O9">
        <v>13.074999999999999</v>
      </c>
      <c r="P9">
        <v>-9.7258733999999996E-3</v>
      </c>
      <c r="Q9">
        <v>-2.2708174999999998E-3</v>
      </c>
      <c r="R9">
        <v>-0.1271658</v>
      </c>
      <c r="S9">
        <v>6.855721</v>
      </c>
    </row>
  </sheetData>
  <phoneticPr fontId="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94"/>
  <dimension ref="A1:S9"/>
  <sheetViews>
    <sheetView workbookViewId="0">
      <selection activeCell="A8" sqref="A8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41</v>
      </c>
      <c r="B1" t="s">
        <v>39</v>
      </c>
      <c r="C1" t="s">
        <v>40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>
      <c r="A2" t="s">
        <v>0</v>
      </c>
      <c r="B2">
        <v>4366</v>
      </c>
      <c r="C2">
        <v>299.97680000000003</v>
      </c>
      <c r="D2">
        <v>83.26097</v>
      </c>
      <c r="E2">
        <v>1.3508420000000001</v>
      </c>
      <c r="F2">
        <v>1.6224196E-2</v>
      </c>
      <c r="G2">
        <v>216.71559999999999</v>
      </c>
      <c r="H2">
        <v>-1.6977409999999999</v>
      </c>
      <c r="I2">
        <v>-7.8339585999999996E-3</v>
      </c>
      <c r="J2">
        <v>-0.3468987</v>
      </c>
      <c r="K2">
        <v>-1.1564182000000001E-3</v>
      </c>
      <c r="L2">
        <v>288.76769999999999</v>
      </c>
      <c r="M2">
        <v>2.2434316999999999E-2</v>
      </c>
      <c r="N2">
        <v>5.4076015999999999E-3</v>
      </c>
      <c r="O2">
        <v>11.209</v>
      </c>
      <c r="P2">
        <v>-1.0299301E-2</v>
      </c>
      <c r="Q2">
        <v>-2.4051010000000002E-3</v>
      </c>
      <c r="R2">
        <v>-0.1154448</v>
      </c>
      <c r="S2">
        <v>6.478307</v>
      </c>
    </row>
    <row r="3" spans="1:19">
      <c r="A3" t="s">
        <v>1</v>
      </c>
      <c r="B3">
        <v>4368</v>
      </c>
      <c r="C3">
        <v>300.36689999999999</v>
      </c>
      <c r="D3">
        <v>83.400940000000006</v>
      </c>
      <c r="E3">
        <v>1.3735379999999999</v>
      </c>
      <c r="F3">
        <v>1.6469096999999999E-2</v>
      </c>
      <c r="G3">
        <v>216.96559999999999</v>
      </c>
      <c r="H3">
        <v>-1.6985490000000001</v>
      </c>
      <c r="I3">
        <v>-7.8286565999999991E-3</v>
      </c>
      <c r="J3">
        <v>-0.3250113</v>
      </c>
      <c r="K3">
        <v>-1.0820477000000001E-3</v>
      </c>
      <c r="L3">
        <v>288.92590000000001</v>
      </c>
      <c r="M3">
        <v>2.2558506999999998E-2</v>
      </c>
      <c r="N3">
        <v>5.4269256000000002E-3</v>
      </c>
      <c r="O3">
        <v>11.441000000000001</v>
      </c>
      <c r="P3">
        <v>-1.0019561999999999E-2</v>
      </c>
      <c r="Q3">
        <v>-2.3394654999999999E-3</v>
      </c>
      <c r="R3">
        <v>-0.11463379999999999</v>
      </c>
      <c r="S3">
        <v>6.5177370000000003</v>
      </c>
    </row>
    <row r="4" spans="1:19">
      <c r="A4" t="s">
        <v>2</v>
      </c>
      <c r="B4">
        <v>4368</v>
      </c>
      <c r="C4">
        <v>300.7527</v>
      </c>
      <c r="D4">
        <v>81.723929999999996</v>
      </c>
      <c r="E4">
        <v>1.21591</v>
      </c>
      <c r="F4">
        <v>1.4878261E-2</v>
      </c>
      <c r="G4">
        <v>219.02850000000001</v>
      </c>
      <c r="H4">
        <v>-1.6977199999999999</v>
      </c>
      <c r="I4">
        <v>-7.7511361000000001E-3</v>
      </c>
      <c r="J4">
        <v>-0.48181010000000002</v>
      </c>
      <c r="K4">
        <v>-1.6020139000000001E-3</v>
      </c>
      <c r="L4">
        <v>288.02170000000001</v>
      </c>
      <c r="M4">
        <v>2.2744219999999999E-2</v>
      </c>
      <c r="N4">
        <v>5.4499413999999999E-3</v>
      </c>
      <c r="O4">
        <v>12.731</v>
      </c>
      <c r="P4">
        <v>-9.9555514999999997E-3</v>
      </c>
      <c r="Q4">
        <v>-2.3471133000000002E-3</v>
      </c>
      <c r="R4">
        <v>-0.1267441</v>
      </c>
      <c r="S4">
        <v>6.5508290000000002</v>
      </c>
    </row>
    <row r="5" spans="1:19">
      <c r="A5" t="s">
        <v>3</v>
      </c>
      <c r="B5">
        <v>4376</v>
      </c>
      <c r="C5">
        <v>298.00599999999997</v>
      </c>
      <c r="D5">
        <v>83.941999999999993</v>
      </c>
      <c r="E5">
        <v>1.3660289999999999</v>
      </c>
      <c r="F5">
        <v>1.6273484000000001E-2</v>
      </c>
      <c r="G5">
        <v>214.06379999999999</v>
      </c>
      <c r="H5">
        <v>-1.6787209999999999</v>
      </c>
      <c r="I5">
        <v>-7.8421551999999992E-3</v>
      </c>
      <c r="J5">
        <v>-0.31269239999999998</v>
      </c>
      <c r="K5">
        <v>-1.0492820999999999E-3</v>
      </c>
      <c r="L5">
        <v>287.03100000000001</v>
      </c>
      <c r="M5">
        <v>2.2417311999999998E-2</v>
      </c>
      <c r="N5">
        <v>5.3935149000000002E-3</v>
      </c>
      <c r="O5">
        <v>10.975</v>
      </c>
      <c r="P5">
        <v>-1.0138678999999999E-2</v>
      </c>
      <c r="Q5">
        <v>-2.3674893000000001E-3</v>
      </c>
      <c r="R5">
        <v>-0.111272</v>
      </c>
      <c r="S5">
        <v>6.4344640000000002</v>
      </c>
    </row>
    <row r="6" spans="1:19">
      <c r="A6" t="s">
        <v>4</v>
      </c>
      <c r="B6">
        <v>4382</v>
      </c>
      <c r="C6">
        <v>304.99990000000003</v>
      </c>
      <c r="D6">
        <v>79.000960000000006</v>
      </c>
      <c r="E6">
        <v>1.187133</v>
      </c>
      <c r="F6">
        <v>1.5026815000000001E-2</v>
      </c>
      <c r="G6">
        <v>225.99860000000001</v>
      </c>
      <c r="H6">
        <v>-1.6809050000000001</v>
      </c>
      <c r="I6">
        <v>-7.4376781000000001E-3</v>
      </c>
      <c r="J6">
        <v>-0.49377169999999998</v>
      </c>
      <c r="K6">
        <v>-1.6189242E-3</v>
      </c>
      <c r="L6">
        <v>292.12689999999998</v>
      </c>
      <c r="M6">
        <v>2.2406908E-2</v>
      </c>
      <c r="N6">
        <v>5.4007103000000001E-3</v>
      </c>
      <c r="O6">
        <v>12.872999999999999</v>
      </c>
      <c r="P6">
        <v>-9.7988611000000003E-3</v>
      </c>
      <c r="Q6">
        <v>-2.2934677999999998E-3</v>
      </c>
      <c r="R6">
        <v>-0.12614069999999999</v>
      </c>
      <c r="S6">
        <v>6.545661</v>
      </c>
    </row>
    <row r="7" spans="1:19">
      <c r="A7" t="s">
        <v>42</v>
      </c>
      <c r="B7">
        <v>4382</v>
      </c>
      <c r="C7">
        <v>296.99680000000001</v>
      </c>
      <c r="D7">
        <v>85.417929999999998</v>
      </c>
      <c r="E7">
        <v>1.344832</v>
      </c>
      <c r="F7">
        <v>1.5744139000000001E-2</v>
      </c>
      <c r="G7">
        <v>211.57859999999999</v>
      </c>
      <c r="H7">
        <v>-1.6679299999999999</v>
      </c>
      <c r="I7">
        <v>-7.8832628000000005E-3</v>
      </c>
      <c r="J7">
        <v>-0.3230983</v>
      </c>
      <c r="K7">
        <v>-1.0878848E-3</v>
      </c>
      <c r="L7">
        <v>286.26780000000002</v>
      </c>
      <c r="M7">
        <v>2.2373013000000001E-2</v>
      </c>
      <c r="N7">
        <v>5.3866039999999997E-3</v>
      </c>
      <c r="O7">
        <v>10.728999999999999</v>
      </c>
      <c r="P7">
        <v>-9.9779832999999998E-3</v>
      </c>
      <c r="Q7">
        <v>-2.3272560999999998E-3</v>
      </c>
      <c r="R7">
        <v>-0.1070538</v>
      </c>
      <c r="S7">
        <v>6.4046719999999997</v>
      </c>
    </row>
    <row r="8" spans="1:19">
      <c r="A8" t="s">
        <v>5</v>
      </c>
      <c r="B8">
        <v>4386</v>
      </c>
      <c r="C8">
        <v>301.80689999999998</v>
      </c>
      <c r="D8">
        <v>78.227959999999996</v>
      </c>
      <c r="E8">
        <v>1.127429</v>
      </c>
      <c r="F8">
        <v>1.4412104E-2</v>
      </c>
      <c r="G8">
        <v>223.57859999999999</v>
      </c>
      <c r="H8">
        <v>-1.738526</v>
      </c>
      <c r="I8">
        <v>-7.7759068999999998E-3</v>
      </c>
      <c r="J8">
        <v>-0.611097</v>
      </c>
      <c r="K8">
        <v>-2.0247942E-3</v>
      </c>
      <c r="L8">
        <v>289.18189999999998</v>
      </c>
      <c r="M8">
        <v>2.2549579E-2</v>
      </c>
      <c r="N8">
        <v>5.4341075000000003E-3</v>
      </c>
      <c r="O8">
        <v>12.625</v>
      </c>
      <c r="P8">
        <v>-9.7702694999999996E-3</v>
      </c>
      <c r="Q8">
        <v>-2.2842525999999998E-3</v>
      </c>
      <c r="R8">
        <v>-0.1233496</v>
      </c>
      <c r="S8">
        <v>6.5209289999999998</v>
      </c>
    </row>
    <row r="9" spans="1:19">
      <c r="A9" t="s">
        <v>6</v>
      </c>
      <c r="B9">
        <v>4386</v>
      </c>
      <c r="C9">
        <v>300.51990000000001</v>
      </c>
      <c r="D9">
        <v>81.397909999999996</v>
      </c>
      <c r="E9">
        <v>1.314111</v>
      </c>
      <c r="F9">
        <v>1.6144278000000001E-2</v>
      </c>
      <c r="G9">
        <v>219.1216</v>
      </c>
      <c r="H9">
        <v>-1.6302570000000001</v>
      </c>
      <c r="I9">
        <v>-7.4399645E-3</v>
      </c>
      <c r="J9">
        <v>-0.3161465</v>
      </c>
      <c r="K9">
        <v>-1.0519985999999999E-3</v>
      </c>
      <c r="L9">
        <v>288.38979999999998</v>
      </c>
      <c r="M9">
        <v>2.2389919000000001E-2</v>
      </c>
      <c r="N9">
        <v>5.3629777000000003E-3</v>
      </c>
      <c r="O9">
        <v>12.13</v>
      </c>
      <c r="P9">
        <v>-9.7244176999999998E-3</v>
      </c>
      <c r="Q9">
        <v>-2.2684073000000002E-3</v>
      </c>
      <c r="R9">
        <v>-0.1179572</v>
      </c>
      <c r="S9">
        <v>6.4570249999999998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"AA_T_pho_den_1.4A"</f>
        <v>AA_T_pho_den_1.4A</v>
      </c>
      <c r="C1" s="1" t="str">
        <f>"AA_T_pho_den_2A"</f>
        <v>AA_T_pho_den_2A</v>
      </c>
      <c r="D1" s="1" t="str">
        <f>"AA_T_pho_den_3A"</f>
        <v>AA_T_pho_den_3A</v>
      </c>
      <c r="E1" s="1" t="str">
        <f>"AA_T_pho_den_4A"</f>
        <v>AA_T_pho_den_4A</v>
      </c>
      <c r="F1" s="1" t="str">
        <f>"AA_T_pho_den_5A"</f>
        <v>AA_T_pho_den_5A</v>
      </c>
      <c r="G1" s="1" t="str">
        <f>"AA_T_pho_den_6A"</f>
        <v>AA_T_pho_den_6A</v>
      </c>
      <c r="H1" s="1" t="str">
        <f>"AA_T_pho_den_7A"</f>
        <v>AA_T_pho_den_7A</v>
      </c>
      <c r="I1" s="1" t="str">
        <f>"AA_T_pho_den_8A"</f>
        <v>AA_T_pho_den_8A</v>
      </c>
      <c r="J1" s="1" t="str">
        <f>"AA_T_pho_den_9A"</f>
        <v>AA_T_pho_den_9A</v>
      </c>
      <c r="K1" s="1" t="str">
        <f>"AA_T_pho_den_10A"</f>
        <v>AA_T_pho_den_10A</v>
      </c>
      <c r="L1" s="1" t="str">
        <f>"AA_T_pho_den_11A"</f>
        <v>AA_T_pho_den_11A</v>
      </c>
      <c r="M1" s="1" t="str">
        <f>"AA_T_pho_den_12A"</f>
        <v>AA_T_pho_den_12A</v>
      </c>
      <c r="N1" s="1" t="str">
        <f>"AA_T_pho_den_13A"</f>
        <v>AA_T_pho_den_13A</v>
      </c>
      <c r="O1" s="1" t="str">
        <f>"AA_T_pho_den_14A"</f>
        <v>AA_T_pho_den_14A</v>
      </c>
      <c r="P1" s="1" t="str">
        <f>"AA_T_pho_den_15A"</f>
        <v>AA_T_pho_den_15A</v>
      </c>
      <c r="Q1" s="1" t="str">
        <f>"AA_T_pho_den_16A"</f>
        <v>AA_T_pho_den_16A</v>
      </c>
      <c r="R1" s="1" t="str">
        <f>"AA_T_pho_den_17A"</f>
        <v>AA_T_pho_den_17A</v>
      </c>
      <c r="S1" s="1" t="str">
        <f>"AA_T_pho_den_18A"</f>
        <v>AA_T_pho_den_18A</v>
      </c>
      <c r="T1" s="1" t="str">
        <f>"AA_T_pho_den_19A"</f>
        <v>AA_T_pho_den_19A</v>
      </c>
      <c r="U1" s="1" t="str">
        <f>"AA_T_pho_den_20A"</f>
        <v>AA_T_pho_den_20A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-2.3828105888662487E-3</v>
      </c>
      <c r="C3">
        <v>-1.816160460965506E-3</v>
      </c>
      <c r="D3">
        <v>-1.0694385020708294E-3</v>
      </c>
      <c r="E3">
        <v>-7.8245720162680918E-4</v>
      </c>
      <c r="F3">
        <v>-6.5844466094401111E-4</v>
      </c>
      <c r="G3">
        <v>-4.8895555528641387E-4</v>
      </c>
      <c r="H3">
        <v>-4.9316473716991759E-4</v>
      </c>
      <c r="I3">
        <v>-4.7868179901527257E-4</v>
      </c>
      <c r="J3">
        <v>-4.2712974809193979E-4</v>
      </c>
      <c r="K3">
        <v>-4.0122028661909525E-4</v>
      </c>
      <c r="L3">
        <v>-4.338130161590825E-4</v>
      </c>
      <c r="M3">
        <v>-4.2705006017505569E-4</v>
      </c>
      <c r="N3">
        <v>-4.1986827638843124E-4</v>
      </c>
      <c r="O3">
        <v>-4.1174610259015008E-4</v>
      </c>
      <c r="P3">
        <v>-4.1579390782120744E-4</v>
      </c>
      <c r="Q3">
        <v>-4.1504931772473418E-4</v>
      </c>
      <c r="R3">
        <v>-3.5584382864405967E-4</v>
      </c>
      <c r="S3">
        <v>-3.7128647653651112E-4</v>
      </c>
      <c r="T3">
        <v>-3.8745947967483836E-4</v>
      </c>
      <c r="U3">
        <v>-3.8484576140554867E-4</v>
      </c>
    </row>
    <row r="4" spans="1:24">
      <c r="A4" t="s">
        <v>1</v>
      </c>
      <c r="B4">
        <v>-2.4083686056635659E-3</v>
      </c>
      <c r="C4">
        <v>-1.844031735488818E-3</v>
      </c>
      <c r="D4">
        <v>-1.0962464871386811E-3</v>
      </c>
      <c r="E4">
        <v>-7.8313578936232216E-4</v>
      </c>
      <c r="F4">
        <v>-6.5032972447161969E-4</v>
      </c>
      <c r="G4">
        <v>-5.2392252652554529E-4</v>
      </c>
      <c r="H4">
        <v>-5.0346260401560011E-4</v>
      </c>
      <c r="I4">
        <v>-4.7804013566801393E-4</v>
      </c>
      <c r="J4">
        <v>-4.5668571181319662E-4</v>
      </c>
      <c r="K4">
        <v>-4.3511325231941682E-4</v>
      </c>
      <c r="L4">
        <v>-4.632252648165921E-4</v>
      </c>
      <c r="M4">
        <v>-4.61139822192579E-4</v>
      </c>
      <c r="N4">
        <v>-4.2297575470732275E-4</v>
      </c>
      <c r="O4">
        <v>-4.1183642735420173E-4</v>
      </c>
      <c r="P4">
        <v>-4.1355501845797286E-4</v>
      </c>
      <c r="Q4">
        <v>-3.9973036394342086E-4</v>
      </c>
      <c r="R4">
        <v>-3.8453921095318747E-4</v>
      </c>
      <c r="S4">
        <v>-3.7201470109425919E-4</v>
      </c>
      <c r="T4">
        <v>-3.736885188434522E-4</v>
      </c>
      <c r="U4">
        <v>-3.8164591371419421E-4</v>
      </c>
    </row>
    <row r="5" spans="1:24">
      <c r="A5" t="s">
        <v>2</v>
      </c>
      <c r="B5">
        <v>-2.3365067272640432E-3</v>
      </c>
      <c r="C5">
        <v>-1.7546593091756603E-3</v>
      </c>
      <c r="D5">
        <v>-1.0426293648910507E-3</v>
      </c>
      <c r="E5">
        <v>-7.7289519654691146E-4</v>
      </c>
      <c r="F5">
        <v>-6.4373878093665566E-4</v>
      </c>
      <c r="G5">
        <v>-5.1874058458533973E-4</v>
      </c>
      <c r="H5">
        <v>-4.7582249998785048E-4</v>
      </c>
      <c r="I5">
        <v>-4.3936039542780803E-4</v>
      </c>
      <c r="J5">
        <v>-3.9611544895808528E-4</v>
      </c>
      <c r="K5">
        <v>-3.8674254189098969E-4</v>
      </c>
      <c r="L5">
        <v>-4.3112727523886746E-4</v>
      </c>
      <c r="M5">
        <v>-4.3897768342329615E-4</v>
      </c>
      <c r="N5">
        <v>-4.2379936438202611E-4</v>
      </c>
      <c r="O5">
        <v>-4.3753806639143376E-4</v>
      </c>
      <c r="P5">
        <v>-4.1491204667999773E-4</v>
      </c>
      <c r="Q5">
        <v>-3.9330586214252836E-4</v>
      </c>
      <c r="R5">
        <v>-3.8517213139837409E-4</v>
      </c>
      <c r="S5">
        <v>-3.8960040112098987E-4</v>
      </c>
      <c r="T5">
        <v>-4.0631262667511299E-4</v>
      </c>
      <c r="U5">
        <v>-4.2142298306881365E-4</v>
      </c>
    </row>
    <row r="6" spans="1:24">
      <c r="A6" t="s">
        <v>3</v>
      </c>
      <c r="B6">
        <v>-2.3657171179965529E-3</v>
      </c>
      <c r="C6">
        <v>-1.8081831667970285E-3</v>
      </c>
      <c r="D6">
        <v>-1.0651885228579717E-3</v>
      </c>
      <c r="E6">
        <v>-7.7657386378135614E-4</v>
      </c>
      <c r="F6">
        <v>-6.2665481031942889E-4</v>
      </c>
      <c r="G6">
        <v>-4.9890585970234231E-4</v>
      </c>
      <c r="H6">
        <v>-4.9738878372920022E-4</v>
      </c>
      <c r="I6">
        <v>-4.4630061094641418E-4</v>
      </c>
      <c r="J6">
        <v>-4.2121083124229552E-4</v>
      </c>
      <c r="K6">
        <v>-3.8869573400763065E-4</v>
      </c>
      <c r="L6">
        <v>-4.3295718686823864E-4</v>
      </c>
      <c r="M6">
        <v>-4.2954035205329403E-4</v>
      </c>
      <c r="N6">
        <v>-4.0797551932487242E-4</v>
      </c>
      <c r="O6">
        <v>-4.1359081469895844E-4</v>
      </c>
      <c r="P6">
        <v>-4.2050079085094872E-4</v>
      </c>
      <c r="Q6">
        <v>-3.9942964258151201E-4</v>
      </c>
      <c r="R6">
        <v>-3.8085671503491355E-4</v>
      </c>
      <c r="S6">
        <v>-3.9520172924986018E-4</v>
      </c>
      <c r="T6">
        <v>-3.8902353995816591E-4</v>
      </c>
      <c r="U6">
        <v>-3.7338845526600138E-4</v>
      </c>
    </row>
    <row r="7" spans="1:24">
      <c r="A7" t="s">
        <v>4</v>
      </c>
      <c r="B7">
        <v>-2.3800870612141066E-3</v>
      </c>
      <c r="C7">
        <v>-1.8103656743422311E-3</v>
      </c>
      <c r="D7">
        <v>-1.0907816379568834E-3</v>
      </c>
      <c r="E7">
        <v>-8.2120878046137514E-4</v>
      </c>
      <c r="F7">
        <v>-6.885592640764772E-4</v>
      </c>
      <c r="G7">
        <v>-5.6426938683803985E-4</v>
      </c>
      <c r="H7">
        <v>-5.1496923208430901E-4</v>
      </c>
      <c r="I7">
        <v>-5.0101375979323757E-4</v>
      </c>
      <c r="J7">
        <v>-4.5201651668935305E-4</v>
      </c>
      <c r="K7">
        <v>-4.3894563935342512E-4</v>
      </c>
      <c r="L7">
        <v>-4.5758306270876056E-4</v>
      </c>
      <c r="M7">
        <v>-4.7008502424549143E-4</v>
      </c>
      <c r="N7">
        <v>-4.3215204834356737E-4</v>
      </c>
      <c r="O7">
        <v>-4.1215952514817738E-4</v>
      </c>
      <c r="P7">
        <v>-4.0095196400116587E-4</v>
      </c>
      <c r="Q7">
        <v>-4.050237683132853E-4</v>
      </c>
      <c r="R7">
        <v>-3.913220242766266E-4</v>
      </c>
      <c r="S7">
        <v>-4.092403789802408E-4</v>
      </c>
      <c r="T7">
        <v>-4.2385242344891244E-4</v>
      </c>
      <c r="U7">
        <v>-4.135762011725249E-4</v>
      </c>
    </row>
    <row r="8" spans="1:24">
      <c r="A8" t="s">
        <v>42</v>
      </c>
      <c r="B8">
        <v>-2.4116605622651862E-3</v>
      </c>
      <c r="C8">
        <v>-1.8722822172162019E-3</v>
      </c>
      <c r="D8">
        <v>-1.1355012201811137E-3</v>
      </c>
      <c r="E8">
        <v>-8.2532894064671694E-4</v>
      </c>
      <c r="F8">
        <v>-6.9938793102366592E-4</v>
      </c>
      <c r="G8">
        <v>-5.6996752126048974E-4</v>
      </c>
      <c r="H8">
        <v>-5.3379551758406382E-4</v>
      </c>
      <c r="I8">
        <v>-5.0594504878774234E-4</v>
      </c>
      <c r="J8">
        <v>-4.5883875434584765E-4</v>
      </c>
      <c r="K8">
        <v>-4.2536633676509795E-4</v>
      </c>
      <c r="L8">
        <v>-4.2235022684312978E-4</v>
      </c>
      <c r="M8">
        <v>-4.4266680488874537E-4</v>
      </c>
      <c r="N8">
        <v>-3.7624802298619322E-4</v>
      </c>
      <c r="O8">
        <v>-3.7565017236013365E-4</v>
      </c>
      <c r="P8">
        <v>-3.6067754926130289E-4</v>
      </c>
      <c r="Q8">
        <v>-3.7915945882304949E-4</v>
      </c>
      <c r="R8">
        <v>-3.8011969854997681E-4</v>
      </c>
      <c r="S8">
        <v>-3.8106792467580106E-4</v>
      </c>
      <c r="T8">
        <v>-3.926539549135197E-4</v>
      </c>
      <c r="U8">
        <v>-3.6045438873415474E-4</v>
      </c>
    </row>
    <row r="9" spans="1:24">
      <c r="A9" t="s">
        <v>5</v>
      </c>
      <c r="B9">
        <v>-2.5258746214382988E-3</v>
      </c>
      <c r="C9">
        <v>-1.929066845330851E-3</v>
      </c>
      <c r="D9">
        <v>-1.1831557257994541E-3</v>
      </c>
      <c r="E9">
        <v>-9.1174585485287343E-4</v>
      </c>
      <c r="F9">
        <v>-7.6376993168450144E-4</v>
      </c>
      <c r="G9">
        <v>-6.3962055410019274E-4</v>
      </c>
      <c r="H9">
        <v>-6.0757848805886188E-4</v>
      </c>
      <c r="I9">
        <v>-5.5391744646039157E-4</v>
      </c>
      <c r="J9">
        <v>-5.6036403008459599E-4</v>
      </c>
      <c r="K9">
        <v>-4.9160532992768662E-4</v>
      </c>
      <c r="L9">
        <v>-5.0868089533482349E-4</v>
      </c>
      <c r="M9">
        <v>-4.7607143770112974E-4</v>
      </c>
      <c r="N9">
        <v>-4.4205925841590002E-4</v>
      </c>
      <c r="O9">
        <v>-4.3901364319943342E-4</v>
      </c>
      <c r="P9">
        <v>-4.4099496649875093E-4</v>
      </c>
      <c r="Q9">
        <v>-4.4406639999937261E-4</v>
      </c>
      <c r="R9">
        <v>-4.4930826310979148E-4</v>
      </c>
      <c r="S9">
        <v>-4.0522479631861867E-4</v>
      </c>
      <c r="T9">
        <v>-4.2200749095603707E-4</v>
      </c>
      <c r="U9">
        <v>-4.0870371088268692E-4</v>
      </c>
    </row>
    <row r="10" spans="1:24">
      <c r="A10" t="s">
        <v>6</v>
      </c>
      <c r="B10">
        <v>-2.457612318200064E-3</v>
      </c>
      <c r="C10">
        <v>-1.9110303633920972E-3</v>
      </c>
      <c r="D10">
        <v>-1.1677324156085303E-3</v>
      </c>
      <c r="E10">
        <v>-8.9614053588712723E-4</v>
      </c>
      <c r="F10">
        <v>-7.4631994781005555E-4</v>
      </c>
      <c r="G10">
        <v>-6.2911262104158603E-4</v>
      </c>
      <c r="H10">
        <v>-5.7397060614513076E-4</v>
      </c>
      <c r="I10">
        <v>-5.5187437305033503E-4</v>
      </c>
      <c r="J10">
        <v>-5.3882544729170513E-4</v>
      </c>
      <c r="K10">
        <v>-4.5358437796716255E-4</v>
      </c>
      <c r="L10">
        <v>-4.4845143910141223E-4</v>
      </c>
      <c r="M10">
        <v>-4.3054513908961185E-4</v>
      </c>
      <c r="N10">
        <v>-3.9753224687183295E-4</v>
      </c>
      <c r="O10">
        <v>-3.7719024588431921E-4</v>
      </c>
      <c r="P10">
        <v>-3.6601891277093101E-4</v>
      </c>
      <c r="Q10">
        <v>-3.7295199659736919E-4</v>
      </c>
      <c r="R10">
        <v>-3.6621817425603969E-4</v>
      </c>
      <c r="S10">
        <v>-3.7487642086159135E-4</v>
      </c>
      <c r="T10">
        <v>-4.0065142269506761E-4</v>
      </c>
      <c r="U10">
        <v>-3.9251044606363839E-4</v>
      </c>
    </row>
  </sheetData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"AA_S_pho_den_1.4A"</f>
        <v>AA_S_pho_den_1.4A</v>
      </c>
      <c r="C1" s="1" t="str">
        <f>"AA_S_pho_den_2A"</f>
        <v>AA_S_pho_den_2A</v>
      </c>
      <c r="D1" s="1" t="str">
        <f>"AA_S_pho_den_3A"</f>
        <v>AA_S_pho_den_3A</v>
      </c>
      <c r="E1" s="1" t="str">
        <f>"AA_S_pho_den_4A"</f>
        <v>AA_S_pho_den_4A</v>
      </c>
      <c r="F1" s="1" t="str">
        <f>"AA_S_pho_den_5A"</f>
        <v>AA_S_pho_den_5A</v>
      </c>
      <c r="G1" s="1" t="str">
        <f>"AA_S_pho_den_6A"</f>
        <v>AA_S_pho_den_6A</v>
      </c>
      <c r="H1" s="1" t="str">
        <f>"AA_S_pho_den_7A"</f>
        <v>AA_S_pho_den_7A</v>
      </c>
      <c r="I1" s="1" t="str">
        <f>"AA_S_pho_den_8A"</f>
        <v>AA_S_pho_den_8A</v>
      </c>
      <c r="J1" s="1" t="str">
        <f>"AA_S_pho_den_9A"</f>
        <v>AA_S_pho_den_9A</v>
      </c>
      <c r="K1" s="1" t="str">
        <f>"AA_S_pho_den_10A"</f>
        <v>AA_S_pho_den_10A</v>
      </c>
      <c r="L1" s="1" t="str">
        <f>"AA_S_pho_den_11A"</f>
        <v>AA_S_pho_den_11A</v>
      </c>
      <c r="M1" s="1" t="str">
        <f>"AA_S_pho_den_12A"</f>
        <v>AA_S_pho_den_12A</v>
      </c>
      <c r="N1" s="1" t="str">
        <f>"AA_S_pho_den_13A"</f>
        <v>AA_S_pho_den_13A</v>
      </c>
      <c r="O1" s="1" t="str">
        <f>"AA_S_pho_den_14A"</f>
        <v>AA_S_pho_den_14A</v>
      </c>
      <c r="P1" s="1" t="str">
        <f>"AA_S_pho_den_15A"</f>
        <v>AA_S_pho_den_15A</v>
      </c>
      <c r="Q1" s="1" t="str">
        <f>"AA_S_pho_den_16A"</f>
        <v>AA_S_pho_den_16A</v>
      </c>
      <c r="R1" s="1" t="str">
        <f>"AA_S_pho_den_17A"</f>
        <v>AA_S_pho_den_17A</v>
      </c>
      <c r="S1" s="1" t="str">
        <f>"AA_S_pho_den_18A"</f>
        <v>AA_S_pho_den_18A</v>
      </c>
      <c r="T1" s="1" t="str">
        <f>"AA_S_pho_den_19A"</f>
        <v>AA_S_pho_den_19A</v>
      </c>
      <c r="U1" s="1" t="str">
        <f>"AA_S_pho_den_20A"</f>
        <v>AA_S_pho_den_20A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-1.2414541274604054E-2</v>
      </c>
      <c r="C3">
        <v>-1.2383895579696515E-2</v>
      </c>
      <c r="D3">
        <v>-1.1483068233570841E-2</v>
      </c>
      <c r="E3">
        <v>-1.0812323834640303E-2</v>
      </c>
      <c r="F3">
        <v>-1.0718960948674028E-2</v>
      </c>
      <c r="G3">
        <v>-9.8005210230721913E-3</v>
      </c>
      <c r="H3">
        <v>-9.890770137056323E-3</v>
      </c>
      <c r="I3">
        <v>-9.8533630287811098E-3</v>
      </c>
      <c r="J3">
        <v>-9.4079355210795433E-3</v>
      </c>
      <c r="K3">
        <v>-9.0945270718050999E-3</v>
      </c>
      <c r="L3">
        <v>-9.7359039569555675E-3</v>
      </c>
      <c r="M3">
        <v>-9.993267081535015E-3</v>
      </c>
      <c r="N3">
        <v>-9.4658375971195755E-3</v>
      </c>
      <c r="O3">
        <v>-9.6501845018450178E-3</v>
      </c>
      <c r="P3">
        <v>-9.678728961114335E-3</v>
      </c>
      <c r="Q3">
        <v>-9.7245431789737165E-3</v>
      </c>
      <c r="R3">
        <v>-9.555522614975295E-3</v>
      </c>
      <c r="S3">
        <v>-9.931061946902655E-3</v>
      </c>
      <c r="T3">
        <v>-1.0138103217158178E-2</v>
      </c>
      <c r="U3">
        <v>-1.0299295209206888E-2</v>
      </c>
    </row>
    <row r="4" spans="1:24">
      <c r="A4" t="s">
        <v>1</v>
      </c>
      <c r="B4">
        <v>-1.2463701117184273E-2</v>
      </c>
      <c r="C4">
        <v>-1.2438204617345185E-2</v>
      </c>
      <c r="D4">
        <v>-1.1518227632804091E-2</v>
      </c>
      <c r="E4">
        <v>-1.0717514759307555E-2</v>
      </c>
      <c r="F4">
        <v>-1.0584276993163664E-2</v>
      </c>
      <c r="G4">
        <v>-9.8581965702477532E-3</v>
      </c>
      <c r="H4">
        <v>-1.0166541655859344E-2</v>
      </c>
      <c r="I4">
        <v>-9.7381078244933531E-3</v>
      </c>
      <c r="J4">
        <v>-9.7945624784857681E-3</v>
      </c>
      <c r="K4">
        <v>-9.2137800760649716E-3</v>
      </c>
      <c r="L4">
        <v>-9.9079399661633899E-3</v>
      </c>
      <c r="M4">
        <v>-9.9843810769245384E-3</v>
      </c>
      <c r="N4">
        <v>-9.5652481260081607E-3</v>
      </c>
      <c r="O4">
        <v>-9.6104104055437338E-3</v>
      </c>
      <c r="P4">
        <v>-9.8780820328363411E-3</v>
      </c>
      <c r="Q4">
        <v>-1.0033433794142699E-2</v>
      </c>
      <c r="R4">
        <v>-9.6795667365478667E-3</v>
      </c>
      <c r="S4">
        <v>-9.8480372381691238E-3</v>
      </c>
      <c r="T4">
        <v>-9.9250880724710607E-3</v>
      </c>
      <c r="U4">
        <v>-1.0019561227165456E-2</v>
      </c>
    </row>
    <row r="5" spans="1:24">
      <c r="A5" t="s">
        <v>2</v>
      </c>
      <c r="B5">
        <v>-1.2405385168078332E-2</v>
      </c>
      <c r="C5">
        <v>-1.2356500085762374E-2</v>
      </c>
      <c r="D5">
        <v>-1.1284030065192073E-2</v>
      </c>
      <c r="E5">
        <v>-1.048011053878257E-2</v>
      </c>
      <c r="F5">
        <v>-1.039376066374053E-2</v>
      </c>
      <c r="G5">
        <v>-9.5902702631127882E-3</v>
      </c>
      <c r="H5">
        <v>-9.6369515862612283E-3</v>
      </c>
      <c r="I5">
        <v>-9.4608739815850249E-3</v>
      </c>
      <c r="J5">
        <v>-9.2913071412418034E-3</v>
      </c>
      <c r="K5">
        <v>-8.9567311368725123E-3</v>
      </c>
      <c r="L5">
        <v>-9.7689090076994774E-3</v>
      </c>
      <c r="M5">
        <v>-9.8390265493930283E-3</v>
      </c>
      <c r="N5">
        <v>-9.3614632564173843E-3</v>
      </c>
      <c r="O5">
        <v>-9.3157579790138223E-3</v>
      </c>
      <c r="P5">
        <v>-9.4193640158715432E-3</v>
      </c>
      <c r="Q5">
        <v>-9.3765375996015931E-3</v>
      </c>
      <c r="R5">
        <v>-9.0701110670368904E-3</v>
      </c>
      <c r="S5">
        <v>-9.5222043912758028E-3</v>
      </c>
      <c r="T5">
        <v>-9.9130039312418095E-3</v>
      </c>
      <c r="U5">
        <v>-9.9555494462336032E-3</v>
      </c>
    </row>
    <row r="6" spans="1:24">
      <c r="A6" t="s">
        <v>3</v>
      </c>
      <c r="B6">
        <v>-1.2451220117097438E-2</v>
      </c>
      <c r="C6">
        <v>-1.2434854309876456E-2</v>
      </c>
      <c r="D6">
        <v>-1.1502680017592182E-2</v>
      </c>
      <c r="E6">
        <v>-1.0891349912380536E-2</v>
      </c>
      <c r="F6">
        <v>-1.0696509452513919E-2</v>
      </c>
      <c r="G6">
        <v>-9.8057503228089725E-3</v>
      </c>
      <c r="H6">
        <v>-1.005472101050252E-2</v>
      </c>
      <c r="I6">
        <v>-9.7413909530917851E-3</v>
      </c>
      <c r="J6">
        <v>-9.5618767073540976E-3</v>
      </c>
      <c r="K6">
        <v>-9.1988083404504102E-3</v>
      </c>
      <c r="L6">
        <v>-9.8196653146464356E-3</v>
      </c>
      <c r="M6">
        <v>-9.8740396566537915E-3</v>
      </c>
      <c r="N6">
        <v>-9.5406348116169534E-3</v>
      </c>
      <c r="O6">
        <v>-9.3100042899201332E-3</v>
      </c>
      <c r="P6">
        <v>-9.3859023073957822E-3</v>
      </c>
      <c r="Q6">
        <v>-1.0001031751314652E-2</v>
      </c>
      <c r="R6">
        <v>-9.8168189185207019E-3</v>
      </c>
      <c r="S6">
        <v>-1.0194242424242425E-2</v>
      </c>
      <c r="T6">
        <v>-1.0137345653086939E-2</v>
      </c>
      <c r="U6">
        <v>-1.0138678815489749E-2</v>
      </c>
    </row>
    <row r="7" spans="1:24">
      <c r="A7" t="s">
        <v>4</v>
      </c>
      <c r="B7">
        <v>-1.2319549080263959E-2</v>
      </c>
      <c r="C7">
        <v>-1.2243436692417306E-2</v>
      </c>
      <c r="D7">
        <v>-1.1209833833833832E-2</v>
      </c>
      <c r="E7">
        <v>-1.0253791362138436E-2</v>
      </c>
      <c r="F7">
        <v>-1.0175477926752965E-2</v>
      </c>
      <c r="G7">
        <v>-9.3571591458295744E-3</v>
      </c>
      <c r="H7">
        <v>-9.2897132454555602E-3</v>
      </c>
      <c r="I7">
        <v>-9.447159068406116E-3</v>
      </c>
      <c r="J7">
        <v>-9.1001507671514513E-3</v>
      </c>
      <c r="K7">
        <v>-9.0403823176515279E-3</v>
      </c>
      <c r="L7">
        <v>-9.7918216732855879E-3</v>
      </c>
      <c r="M7">
        <v>-1.0107855409146174E-2</v>
      </c>
      <c r="N7">
        <v>-9.654766207887298E-3</v>
      </c>
      <c r="O7">
        <v>-9.4290713295254267E-3</v>
      </c>
      <c r="P7">
        <v>-9.215998895137769E-3</v>
      </c>
      <c r="Q7">
        <v>-9.4871048000485479E-3</v>
      </c>
      <c r="R7">
        <v>-9.208611092921223E-3</v>
      </c>
      <c r="S7">
        <v>-9.3801784748512706E-3</v>
      </c>
      <c r="T7">
        <v>-9.7976445861719091E-3</v>
      </c>
      <c r="U7">
        <v>-9.7988580750407832E-3</v>
      </c>
    </row>
    <row r="8" spans="1:24">
      <c r="A8" t="s">
        <v>42</v>
      </c>
      <c r="B8">
        <v>-1.2304643564568327E-2</v>
      </c>
      <c r="C8">
        <v>-1.2270419187554019E-2</v>
      </c>
      <c r="D8">
        <v>-1.1303463884658856E-2</v>
      </c>
      <c r="E8">
        <v>-1.0487571848407236E-2</v>
      </c>
      <c r="F8">
        <v>-1.034715731418563E-2</v>
      </c>
      <c r="G8">
        <v>-9.4845297202463246E-3</v>
      </c>
      <c r="H8">
        <v>-9.6532449420191277E-3</v>
      </c>
      <c r="I8">
        <v>-9.4562908633577265E-3</v>
      </c>
      <c r="J8">
        <v>-9.152753871588766E-3</v>
      </c>
      <c r="K8">
        <v>-8.8247037341379359E-3</v>
      </c>
      <c r="L8">
        <v>-9.5287755677821769E-3</v>
      </c>
      <c r="M8">
        <v>-9.8860229425841543E-3</v>
      </c>
      <c r="N8">
        <v>-9.1794895591647344E-3</v>
      </c>
      <c r="O8">
        <v>-9.3035540820264936E-3</v>
      </c>
      <c r="P8">
        <v>-9.3943872296601439E-3</v>
      </c>
      <c r="Q8">
        <v>-9.5216110150325925E-3</v>
      </c>
      <c r="R8">
        <v>-9.3856324649018649E-3</v>
      </c>
      <c r="S8">
        <v>-9.8461000621504029E-3</v>
      </c>
      <c r="T8">
        <v>-1.0065523778125774E-2</v>
      </c>
      <c r="U8">
        <v>-9.9779849007363228E-3</v>
      </c>
    </row>
    <row r="9" spans="1:24">
      <c r="A9" t="s">
        <v>5</v>
      </c>
      <c r="B9">
        <v>-1.2679215317090875E-2</v>
      </c>
      <c r="C9">
        <v>-1.2692944219851694E-2</v>
      </c>
      <c r="D9">
        <v>-1.1871885440684217E-2</v>
      </c>
      <c r="E9">
        <v>-1.1173151909549543E-2</v>
      </c>
      <c r="F9">
        <v>-1.1196224734116597E-2</v>
      </c>
      <c r="G9">
        <v>-1.056831562502043E-2</v>
      </c>
      <c r="H9">
        <v>-1.0765393646682218E-2</v>
      </c>
      <c r="I9">
        <v>-1.0415914533960383E-2</v>
      </c>
      <c r="J9">
        <v>-1.0224864122244832E-2</v>
      </c>
      <c r="K9">
        <v>-9.8568816336537593E-3</v>
      </c>
      <c r="L9">
        <v>-1.034600695135518E-2</v>
      </c>
      <c r="M9">
        <v>-1.0105271059821688E-2</v>
      </c>
      <c r="N9">
        <v>-9.4717282450930661E-3</v>
      </c>
      <c r="O9">
        <v>-9.6210982352251846E-3</v>
      </c>
      <c r="P9">
        <v>-9.7801033519199464E-3</v>
      </c>
      <c r="Q9">
        <v>-9.8834060627218234E-3</v>
      </c>
      <c r="R9">
        <v>-9.8514815499291565E-3</v>
      </c>
      <c r="S9">
        <v>-9.5691056333025507E-3</v>
      </c>
      <c r="T9">
        <v>-9.7772388884794E-3</v>
      </c>
      <c r="U9">
        <v>-9.7702653465346536E-3</v>
      </c>
    </row>
    <row r="10" spans="1:24">
      <c r="A10" t="s">
        <v>6</v>
      </c>
      <c r="B10">
        <v>-1.2713402968556055E-2</v>
      </c>
      <c r="C10">
        <v>-1.2755671683406042E-2</v>
      </c>
      <c r="D10">
        <v>-1.1921125404193525E-2</v>
      </c>
      <c r="E10">
        <v>-1.1199190734442078E-2</v>
      </c>
      <c r="F10">
        <v>-1.1072023716446347E-2</v>
      </c>
      <c r="G10">
        <v>-1.0461027491304974E-2</v>
      </c>
      <c r="H10">
        <v>-1.0401544637943445E-2</v>
      </c>
      <c r="I10">
        <v>-1.0474530687199153E-2</v>
      </c>
      <c r="J10">
        <v>-1.0292249537001801E-2</v>
      </c>
      <c r="K10">
        <v>-9.6146051947474265E-3</v>
      </c>
      <c r="L10">
        <v>-9.7671324686016518E-3</v>
      </c>
      <c r="M10">
        <v>-9.7273457638769548E-3</v>
      </c>
      <c r="N10">
        <v>-9.1820156546464499E-3</v>
      </c>
      <c r="O10">
        <v>-9.1521119771767936E-3</v>
      </c>
      <c r="P10">
        <v>-9.1708130931757535E-3</v>
      </c>
      <c r="Q10">
        <v>-9.2327807626785482E-3</v>
      </c>
      <c r="R10">
        <v>-9.2408063139931725E-3</v>
      </c>
      <c r="S10">
        <v>-9.4121711758974741E-3</v>
      </c>
      <c r="T10">
        <v>-9.72587380497132E-3</v>
      </c>
      <c r="U10">
        <v>-9.7244187963726296E-3</v>
      </c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"AA_T_phi_ty_1.4A"</f>
        <v>AA_T_phi_ty_1.4A</v>
      </c>
      <c r="C1" s="1" t="str">
        <f>"AA_T_phi_ty_2A"</f>
        <v>AA_T_phi_ty_2A</v>
      </c>
      <c r="D1" s="1" t="str">
        <f>"AA_T_phi_ty_3A"</f>
        <v>AA_T_phi_ty_3A</v>
      </c>
      <c r="E1" s="1" t="str">
        <f>"AA_T_phi_ty_4A"</f>
        <v>AA_T_phi_ty_4A</v>
      </c>
      <c r="F1" s="1" t="str">
        <f>"AA_T_phi_ty_5A"</f>
        <v>AA_T_phi_ty_5A</v>
      </c>
      <c r="G1" s="1" t="str">
        <f>"AA_T_phi_ty_6A"</f>
        <v>AA_T_phi_ty_6A</v>
      </c>
      <c r="H1" s="1" t="str">
        <f>"AA_T_phi_ty_7A"</f>
        <v>AA_T_phi_ty_7A</v>
      </c>
      <c r="I1" s="1" t="str">
        <f>"AA_T_phi_ty_8A"</f>
        <v>AA_T_phi_ty_8A</v>
      </c>
      <c r="J1" s="1" t="str">
        <f>"AA_T_phi_ty_9A"</f>
        <v>AA_T_phi_ty_9A</v>
      </c>
      <c r="K1" s="1" t="str">
        <f>"AA_T_phi_ty_10A"</f>
        <v>AA_T_phi_ty_10A</v>
      </c>
      <c r="L1" s="1" t="str">
        <f>"AA_T_phi_ty_11A"</f>
        <v>AA_T_phi_ty_11A</v>
      </c>
      <c r="M1" s="1" t="str">
        <f>"AA_T_phi_ty_12A"</f>
        <v>AA_T_phi_ty_12A</v>
      </c>
      <c r="N1" s="1" t="str">
        <f>"AA_T_phi_ty_13A"</f>
        <v>AA_T_phi_ty_13A</v>
      </c>
      <c r="O1" s="1" t="str">
        <f>"AA_T_phi_ty_14A"</f>
        <v>AA_T_phi_ty_14A</v>
      </c>
      <c r="P1" s="1" t="str">
        <f>"AA_T_phi_ty_15A"</f>
        <v>AA_T_phi_ty_15A</v>
      </c>
      <c r="Q1" s="1" t="str">
        <f>"AA_T_phi_ty_16A"</f>
        <v>AA_T_phi_ty_16A</v>
      </c>
      <c r="R1" s="1" t="str">
        <f>"AA_T_phi_ty_17A"</f>
        <v>AA_T_phi_ty_17A</v>
      </c>
      <c r="S1" s="1" t="str">
        <f>"AA_T_phi_ty_18A"</f>
        <v>AA_T_phi_ty_18A</v>
      </c>
      <c r="T1" s="1" t="str">
        <f>"AA_T_phi_ty_19A"</f>
        <v>AA_T_phi_ty_19A</v>
      </c>
      <c r="U1" s="1" t="str">
        <f>"AA_T_phi_ty_20A"</f>
        <v>AA_T_phi_ty_20A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157.01820000000001</v>
      </c>
      <c r="C3">
        <v>108.8715</v>
      </c>
      <c r="D3">
        <v>65.812330000000003</v>
      </c>
      <c r="E3">
        <v>43.626269999999998</v>
      </c>
      <c r="F3">
        <v>32.41977</v>
      </c>
      <c r="G3">
        <v>25.374269999999999</v>
      </c>
      <c r="H3">
        <v>21.030290000000001</v>
      </c>
      <c r="I3">
        <v>17.749220000000001</v>
      </c>
      <c r="J3">
        <v>15.519920000000001</v>
      </c>
      <c r="K3">
        <v>13.5501</v>
      </c>
      <c r="L3">
        <v>13.13171</v>
      </c>
      <c r="M3">
        <v>11.76146</v>
      </c>
      <c r="N3">
        <v>10.60998</v>
      </c>
      <c r="O3">
        <v>9.6711869999999998</v>
      </c>
      <c r="P3">
        <v>8.9391780000000001</v>
      </c>
      <c r="Q3">
        <v>8.3248549999999994</v>
      </c>
      <c r="R3">
        <v>7.6839979999999999</v>
      </c>
      <c r="S3">
        <v>7.2643069999999996</v>
      </c>
      <c r="T3">
        <v>6.7552199999999996</v>
      </c>
      <c r="U3">
        <v>6.478307</v>
      </c>
    </row>
    <row r="4" spans="1:24">
      <c r="A4" t="s">
        <v>1</v>
      </c>
      <c r="B4">
        <v>156.80529999999999</v>
      </c>
      <c r="C4">
        <v>108.33459999999999</v>
      </c>
      <c r="D4">
        <v>65.801680000000005</v>
      </c>
      <c r="E4">
        <v>43.464379999999998</v>
      </c>
      <c r="F4">
        <v>32.391979999999997</v>
      </c>
      <c r="G4">
        <v>25.362210000000001</v>
      </c>
      <c r="H4">
        <v>20.941569999999999</v>
      </c>
      <c r="I4">
        <v>17.68066</v>
      </c>
      <c r="J4">
        <v>15.590669999999999</v>
      </c>
      <c r="K4">
        <v>13.431520000000001</v>
      </c>
      <c r="L4">
        <v>12.88153</v>
      </c>
      <c r="M4">
        <v>11.73793</v>
      </c>
      <c r="N4">
        <v>10.641299999999999</v>
      </c>
      <c r="O4">
        <v>9.7990370000000002</v>
      </c>
      <c r="P4">
        <v>9.1953320000000005</v>
      </c>
      <c r="Q4">
        <v>8.5720089999999995</v>
      </c>
      <c r="R4">
        <v>7.8355480000000002</v>
      </c>
      <c r="S4">
        <v>7.5104439999999997</v>
      </c>
      <c r="T4">
        <v>6.9471910000000001</v>
      </c>
      <c r="U4">
        <v>6.5177370000000003</v>
      </c>
    </row>
    <row r="5" spans="1:24">
      <c r="A5" t="s">
        <v>2</v>
      </c>
      <c r="B5">
        <v>152.84440000000001</v>
      </c>
      <c r="C5">
        <v>106.4525</v>
      </c>
      <c r="D5">
        <v>65.428340000000006</v>
      </c>
      <c r="E5">
        <v>43.419800000000002</v>
      </c>
      <c r="F5">
        <v>32.131010000000003</v>
      </c>
      <c r="G5">
        <v>25.587710000000001</v>
      </c>
      <c r="H5">
        <v>21.223780000000001</v>
      </c>
      <c r="I5">
        <v>17.9542</v>
      </c>
      <c r="J5">
        <v>15.67746</v>
      </c>
      <c r="K5">
        <v>13.41635</v>
      </c>
      <c r="L5">
        <v>12.82507</v>
      </c>
      <c r="M5">
        <v>11.76887</v>
      </c>
      <c r="N5">
        <v>10.581440000000001</v>
      </c>
      <c r="O5">
        <v>9.6511340000000008</v>
      </c>
      <c r="P5">
        <v>9.0497700000000005</v>
      </c>
      <c r="Q5">
        <v>8.533334</v>
      </c>
      <c r="R5">
        <v>7.7421110000000004</v>
      </c>
      <c r="S5">
        <v>7.3147339999999996</v>
      </c>
      <c r="T5">
        <v>6.9368280000000002</v>
      </c>
      <c r="U5">
        <v>6.5508290000000002</v>
      </c>
    </row>
    <row r="6" spans="1:24">
      <c r="A6" t="s">
        <v>3</v>
      </c>
      <c r="B6">
        <v>158.0994</v>
      </c>
      <c r="C6">
        <v>110.0076</v>
      </c>
      <c r="D6">
        <v>66.582629999999995</v>
      </c>
      <c r="E6">
        <v>43.954149999999998</v>
      </c>
      <c r="F6">
        <v>32.629339999999999</v>
      </c>
      <c r="G6">
        <v>25.602170000000001</v>
      </c>
      <c r="H6">
        <v>21.071999999999999</v>
      </c>
      <c r="I6">
        <v>18.082740000000001</v>
      </c>
      <c r="J6">
        <v>15.78384</v>
      </c>
      <c r="K6">
        <v>13.546620000000001</v>
      </c>
      <c r="L6">
        <v>13.02186</v>
      </c>
      <c r="M6">
        <v>11.81442</v>
      </c>
      <c r="N6">
        <v>10.697329999999999</v>
      </c>
      <c r="O6">
        <v>9.6882719999999996</v>
      </c>
      <c r="P6">
        <v>9.0199770000000008</v>
      </c>
      <c r="Q6">
        <v>8.4389570000000003</v>
      </c>
      <c r="R6">
        <v>7.5531810000000004</v>
      </c>
      <c r="S6">
        <v>7.2177129999999998</v>
      </c>
      <c r="T6">
        <v>6.7616699999999996</v>
      </c>
      <c r="U6">
        <v>6.4344640000000002</v>
      </c>
    </row>
    <row r="7" spans="1:24">
      <c r="A7" t="s">
        <v>4</v>
      </c>
      <c r="B7">
        <v>152.89529999999999</v>
      </c>
      <c r="C7">
        <v>106.5745</v>
      </c>
      <c r="D7">
        <v>64.657970000000006</v>
      </c>
      <c r="E7">
        <v>43.633690000000001</v>
      </c>
      <c r="F7">
        <v>32.648969999999998</v>
      </c>
      <c r="G7">
        <v>25.547049999999999</v>
      </c>
      <c r="H7">
        <v>20.8721</v>
      </c>
      <c r="I7">
        <v>17.745439999999999</v>
      </c>
      <c r="J7">
        <v>15.56338</v>
      </c>
      <c r="K7">
        <v>13.398580000000001</v>
      </c>
      <c r="L7">
        <v>12.95858</v>
      </c>
      <c r="M7">
        <v>11.82727</v>
      </c>
      <c r="N7">
        <v>10.66229</v>
      </c>
      <c r="O7">
        <v>9.7466369999999998</v>
      </c>
      <c r="P7">
        <v>9.1476209999999991</v>
      </c>
      <c r="Q7">
        <v>8.6306580000000004</v>
      </c>
      <c r="R7">
        <v>7.7574240000000003</v>
      </c>
      <c r="S7">
        <v>7.4095789999999999</v>
      </c>
      <c r="T7">
        <v>6.8900189999999997</v>
      </c>
      <c r="U7">
        <v>6.545661</v>
      </c>
    </row>
    <row r="8" spans="1:24">
      <c r="A8" t="s">
        <v>42</v>
      </c>
      <c r="B8">
        <v>156.42019999999999</v>
      </c>
      <c r="C8">
        <v>108.6229</v>
      </c>
      <c r="D8">
        <v>65.782859999999999</v>
      </c>
      <c r="E8">
        <v>43.677959999999999</v>
      </c>
      <c r="F8">
        <v>32.505719999999997</v>
      </c>
      <c r="G8">
        <v>25.597989999999999</v>
      </c>
      <c r="H8">
        <v>21.091159999999999</v>
      </c>
      <c r="I8">
        <v>17.913029999999999</v>
      </c>
      <c r="J8">
        <v>15.709989999999999</v>
      </c>
      <c r="K8">
        <v>13.48218</v>
      </c>
      <c r="L8">
        <v>12.906129999999999</v>
      </c>
      <c r="M8">
        <v>11.65039</v>
      </c>
      <c r="N8">
        <v>10.53487</v>
      </c>
      <c r="O8">
        <v>9.7432009999999991</v>
      </c>
      <c r="P8">
        <v>9.0328029999999995</v>
      </c>
      <c r="Q8">
        <v>8.4386840000000003</v>
      </c>
      <c r="R8">
        <v>7.690448</v>
      </c>
      <c r="S8">
        <v>7.2156209999999996</v>
      </c>
      <c r="T8">
        <v>6.7066629999999998</v>
      </c>
      <c r="U8">
        <v>6.4046719999999997</v>
      </c>
    </row>
    <row r="9" spans="1:24">
      <c r="A9" t="s">
        <v>5</v>
      </c>
      <c r="B9">
        <v>151.00899999999999</v>
      </c>
      <c r="C9">
        <v>105.4072</v>
      </c>
      <c r="D9">
        <v>63.885579999999997</v>
      </c>
      <c r="E9">
        <v>43.08867</v>
      </c>
      <c r="F9">
        <v>31.902229999999999</v>
      </c>
      <c r="G9">
        <v>25.28884</v>
      </c>
      <c r="H9">
        <v>20.850090000000002</v>
      </c>
      <c r="I9">
        <v>17.565000000000001</v>
      </c>
      <c r="J9">
        <v>15.504379999999999</v>
      </c>
      <c r="K9">
        <v>13.32236</v>
      </c>
      <c r="L9">
        <v>13.044180000000001</v>
      </c>
      <c r="M9">
        <v>11.680899999999999</v>
      </c>
      <c r="N9">
        <v>10.529</v>
      </c>
      <c r="O9">
        <v>9.5490189999999995</v>
      </c>
      <c r="P9">
        <v>8.8644569999999998</v>
      </c>
      <c r="Q9">
        <v>8.4339110000000002</v>
      </c>
      <c r="R9">
        <v>7.713387</v>
      </c>
      <c r="S9">
        <v>7.2510630000000003</v>
      </c>
      <c r="T9">
        <v>6.8033039999999998</v>
      </c>
      <c r="U9">
        <v>6.5209289999999998</v>
      </c>
    </row>
    <row r="10" spans="1:24">
      <c r="A10" t="s">
        <v>6</v>
      </c>
      <c r="B10">
        <v>153.03450000000001</v>
      </c>
      <c r="C10">
        <v>106.3798</v>
      </c>
      <c r="D10">
        <v>64.978449999999995</v>
      </c>
      <c r="E10">
        <v>43.315040000000003</v>
      </c>
      <c r="F10">
        <v>32.461869999999998</v>
      </c>
      <c r="G10">
        <v>25.526340000000001</v>
      </c>
      <c r="H10">
        <v>20.948399999999999</v>
      </c>
      <c r="I10">
        <v>17.688790000000001</v>
      </c>
      <c r="J10">
        <v>15.72189</v>
      </c>
      <c r="K10">
        <v>13.55147</v>
      </c>
      <c r="L10">
        <v>13.122479999999999</v>
      </c>
      <c r="M10">
        <v>11.843830000000001</v>
      </c>
      <c r="N10">
        <v>10.73837</v>
      </c>
      <c r="O10">
        <v>9.7883619999999993</v>
      </c>
      <c r="P10">
        <v>9.0879189999999994</v>
      </c>
      <c r="Q10">
        <v>8.4434909999999999</v>
      </c>
      <c r="R10">
        <v>7.7391059999999996</v>
      </c>
      <c r="S10">
        <v>7.3263379999999998</v>
      </c>
      <c r="T10">
        <v>6.855721</v>
      </c>
      <c r="U10">
        <v>6.4570249999999998</v>
      </c>
    </row>
  </sheetData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X10"/>
  <sheetViews>
    <sheetView workbookViewId="0">
      <selection activeCell="A9" sqref="A9"/>
    </sheetView>
  </sheetViews>
  <sheetFormatPr defaultRowHeight="15"/>
  <sheetData>
    <row r="1" spans="1:24">
      <c r="A1" s="1"/>
      <c r="B1" s="1" t="str">
        <f>"AA_phi_A_1.4A"</f>
        <v>AA_phi_A_1.4A</v>
      </c>
      <c r="C1" s="1" t="str">
        <f>"AA_phi_A_2A"</f>
        <v>AA_phi_A_2A</v>
      </c>
      <c r="D1" s="1" t="str">
        <f>"AA_phi_A_3A"</f>
        <v>AA_phi_A_3A</v>
      </c>
      <c r="E1" s="1" t="str">
        <f>"AA_phi_A_4A"</f>
        <v>AA_phi_A_4A</v>
      </c>
      <c r="F1" s="1" t="str">
        <f>"AA_phi_A_5A"</f>
        <v>AA_phi_A_5A</v>
      </c>
      <c r="G1" s="1" t="str">
        <f>"AA_phi_A_6A"</f>
        <v>AA_phi_A_6A</v>
      </c>
      <c r="H1" s="1" t="str">
        <f>"AA_phi_A_7A"</f>
        <v>AA_phi_A_7A</v>
      </c>
      <c r="I1" s="1" t="str">
        <f>"AA_phi_A_8A"</f>
        <v>AA_phi_A_8A</v>
      </c>
      <c r="J1" s="1" t="str">
        <f>"AA_phi_A_9A"</f>
        <v>AA_phi_A_9A</v>
      </c>
      <c r="K1" s="1" t="str">
        <f>"AA_phi_A_10A"</f>
        <v>AA_phi_A_10A</v>
      </c>
      <c r="L1" s="1" t="str">
        <f>"AA_phi_A_11A"</f>
        <v>AA_phi_A_11A</v>
      </c>
      <c r="M1" s="1" t="str">
        <f>"AA_phi_A_12A"</f>
        <v>AA_phi_A_12A</v>
      </c>
      <c r="N1" s="1" t="str">
        <f>"AA_phi_A_13A"</f>
        <v>AA_phi_A_13A</v>
      </c>
      <c r="O1" s="1" t="str">
        <f>"AA_phi_A_14A"</f>
        <v>AA_phi_A_14A</v>
      </c>
      <c r="P1" s="1" t="str">
        <f>"AA_phi_A_15A"</f>
        <v>AA_phi_A_15A</v>
      </c>
      <c r="Q1" s="1" t="str">
        <f>"AA_phi_A_16A"</f>
        <v>AA_phi_A_16A</v>
      </c>
      <c r="R1" s="1" t="str">
        <f>"AA_phi_A_17A"</f>
        <v>AA_phi_A_17A</v>
      </c>
      <c r="S1" s="1" t="str">
        <f>"AA_phi_A_18A"</f>
        <v>AA_phi_A_18A</v>
      </c>
      <c r="T1" s="1" t="str">
        <f>"AA_phi_A_19A"</f>
        <v>AA_phi_A_19A</v>
      </c>
      <c r="U1" s="1" t="str">
        <f>"AA_phi_A_20A"</f>
        <v>AA_phi_A_20A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6937.0249999999996</v>
      </c>
      <c r="C3">
        <v>4748.7110000000002</v>
      </c>
      <c r="D3">
        <v>2935.6489999999999</v>
      </c>
      <c r="E3">
        <v>1999.634</v>
      </c>
      <c r="F3">
        <v>1487.46</v>
      </c>
      <c r="G3">
        <v>1176.712</v>
      </c>
      <c r="H3">
        <v>961.05650000000003</v>
      </c>
      <c r="I3">
        <v>810.93010000000004</v>
      </c>
      <c r="J3">
        <v>701.06870000000004</v>
      </c>
      <c r="K3">
        <v>621.52319999999997</v>
      </c>
      <c r="L3">
        <v>556.97270000000003</v>
      </c>
      <c r="M3">
        <v>500.38729999999998</v>
      </c>
      <c r="N3">
        <v>454.7672</v>
      </c>
      <c r="O3">
        <v>419.55360000000002</v>
      </c>
      <c r="P3">
        <v>383.8449</v>
      </c>
      <c r="Q3">
        <v>358.4289</v>
      </c>
      <c r="R3">
        <v>340.09789999999998</v>
      </c>
      <c r="S3">
        <v>320.04399999999998</v>
      </c>
      <c r="T3">
        <v>300.37639999999999</v>
      </c>
      <c r="U3">
        <v>288.76769999999999</v>
      </c>
    </row>
    <row r="4" spans="1:24">
      <c r="A4" t="s">
        <v>1</v>
      </c>
      <c r="B4">
        <v>6954.3739999999998</v>
      </c>
      <c r="C4">
        <v>4749.9629999999997</v>
      </c>
      <c r="D4">
        <v>2945.703</v>
      </c>
      <c r="E4">
        <v>1997.6579999999999</v>
      </c>
      <c r="F4">
        <v>1485.867</v>
      </c>
      <c r="G4">
        <v>1178.4090000000001</v>
      </c>
      <c r="H4">
        <v>957.53179999999998</v>
      </c>
      <c r="I4">
        <v>810.92439999999999</v>
      </c>
      <c r="J4">
        <v>705.07569999999998</v>
      </c>
      <c r="K4">
        <v>621.83280000000002</v>
      </c>
      <c r="L4">
        <v>553.64390000000003</v>
      </c>
      <c r="M4">
        <v>499.66419999999999</v>
      </c>
      <c r="N4">
        <v>455.58370000000002</v>
      </c>
      <c r="O4">
        <v>422.65429999999998</v>
      </c>
      <c r="P4">
        <v>394.4821</v>
      </c>
      <c r="Q4">
        <v>367.84570000000002</v>
      </c>
      <c r="R4">
        <v>345.89929999999998</v>
      </c>
      <c r="S4">
        <v>328.33629999999999</v>
      </c>
      <c r="T4">
        <v>304.72370000000001</v>
      </c>
      <c r="U4">
        <v>288.92590000000001</v>
      </c>
    </row>
    <row r="5" spans="1:24">
      <c r="A5" t="s">
        <v>2</v>
      </c>
      <c r="B5">
        <v>6831.4449999999997</v>
      </c>
      <c r="C5">
        <v>4688.7370000000001</v>
      </c>
      <c r="D5">
        <v>2937.6779999999999</v>
      </c>
      <c r="E5">
        <v>2004.278</v>
      </c>
      <c r="F5">
        <v>1493.0229999999999</v>
      </c>
      <c r="G5">
        <v>1188.6110000000001</v>
      </c>
      <c r="H5">
        <v>978.04610000000002</v>
      </c>
      <c r="I5">
        <v>823.13900000000001</v>
      </c>
      <c r="J5">
        <v>711.96860000000004</v>
      </c>
      <c r="K5">
        <v>620.1318</v>
      </c>
      <c r="L5">
        <v>548.03790000000004</v>
      </c>
      <c r="M5">
        <v>499.74849999999998</v>
      </c>
      <c r="N5">
        <v>455.15100000000001</v>
      </c>
      <c r="O5">
        <v>418.10199999999998</v>
      </c>
      <c r="P5">
        <v>390.57170000000002</v>
      </c>
      <c r="Q5">
        <v>366.90679999999998</v>
      </c>
      <c r="R5">
        <v>341.06400000000002</v>
      </c>
      <c r="S5">
        <v>321.3519</v>
      </c>
      <c r="T5">
        <v>303.53570000000002</v>
      </c>
      <c r="U5">
        <v>288.02170000000001</v>
      </c>
    </row>
    <row r="6" spans="1:24">
      <c r="A6" t="s">
        <v>3</v>
      </c>
      <c r="B6">
        <v>6961.9430000000002</v>
      </c>
      <c r="C6">
        <v>4776.9179999999997</v>
      </c>
      <c r="D6">
        <v>2949.8449999999998</v>
      </c>
      <c r="E6">
        <v>2001.61</v>
      </c>
      <c r="F6">
        <v>1495.4</v>
      </c>
      <c r="G6">
        <v>1180.175</v>
      </c>
      <c r="H6">
        <v>960.13599999999997</v>
      </c>
      <c r="I6">
        <v>817.31269999999995</v>
      </c>
      <c r="J6">
        <v>706.93020000000001</v>
      </c>
      <c r="K6">
        <v>621.81489999999997</v>
      </c>
      <c r="L6">
        <v>556.86289999999997</v>
      </c>
      <c r="M6">
        <v>500.80840000000001</v>
      </c>
      <c r="N6">
        <v>456.3023</v>
      </c>
      <c r="O6">
        <v>416.67360000000002</v>
      </c>
      <c r="P6">
        <v>387.16379999999998</v>
      </c>
      <c r="Q6">
        <v>361.12700000000001</v>
      </c>
      <c r="R6">
        <v>336.30410000000001</v>
      </c>
      <c r="S6">
        <v>319.11200000000002</v>
      </c>
      <c r="T6">
        <v>298.32080000000002</v>
      </c>
      <c r="U6">
        <v>287.03100000000001</v>
      </c>
    </row>
    <row r="7" spans="1:24">
      <c r="A7" t="s">
        <v>4</v>
      </c>
      <c r="B7">
        <v>6790.4179999999997</v>
      </c>
      <c r="C7">
        <v>4676.9660000000003</v>
      </c>
      <c r="D7">
        <v>2896.15</v>
      </c>
      <c r="E7">
        <v>2003.46</v>
      </c>
      <c r="F7">
        <v>1499.587</v>
      </c>
      <c r="G7">
        <v>1179.4269999999999</v>
      </c>
      <c r="H7">
        <v>961.36109999999996</v>
      </c>
      <c r="I7">
        <v>816.04060000000004</v>
      </c>
      <c r="J7">
        <v>708.35590000000002</v>
      </c>
      <c r="K7">
        <v>623.71190000000001</v>
      </c>
      <c r="L7">
        <v>555.46619999999996</v>
      </c>
      <c r="M7">
        <v>502.67320000000001</v>
      </c>
      <c r="N7">
        <v>460.52030000000002</v>
      </c>
      <c r="O7">
        <v>424.87759999999997</v>
      </c>
      <c r="P7">
        <v>394.78949999999998</v>
      </c>
      <c r="Q7">
        <v>369.5179</v>
      </c>
      <c r="R7">
        <v>344.08690000000001</v>
      </c>
      <c r="S7">
        <v>324.25490000000002</v>
      </c>
      <c r="T7">
        <v>305.15260000000001</v>
      </c>
      <c r="U7">
        <v>292.12689999999998</v>
      </c>
    </row>
    <row r="8" spans="1:24">
      <c r="A8" t="s">
        <v>42</v>
      </c>
      <c r="B8">
        <v>6900.5820000000003</v>
      </c>
      <c r="C8">
        <v>4729.4129999999996</v>
      </c>
      <c r="D8">
        <v>2928.9920000000002</v>
      </c>
      <c r="E8">
        <v>1983.819</v>
      </c>
      <c r="F8">
        <v>1486.201</v>
      </c>
      <c r="G8">
        <v>1170.875</v>
      </c>
      <c r="H8">
        <v>955.36479999999995</v>
      </c>
      <c r="I8">
        <v>807.95389999999998</v>
      </c>
      <c r="J8">
        <v>702.42809999999997</v>
      </c>
      <c r="K8">
        <v>616.61220000000003</v>
      </c>
      <c r="L8">
        <v>548.71420000000001</v>
      </c>
      <c r="M8">
        <v>495.73419999999999</v>
      </c>
      <c r="N8">
        <v>453.79349999999999</v>
      </c>
      <c r="O8">
        <v>420.57209999999998</v>
      </c>
      <c r="P8">
        <v>389.12209999999999</v>
      </c>
      <c r="Q8">
        <v>362.50580000000002</v>
      </c>
      <c r="R8">
        <v>339.18740000000003</v>
      </c>
      <c r="S8">
        <v>319.71690000000001</v>
      </c>
      <c r="T8">
        <v>298.89139999999998</v>
      </c>
      <c r="U8">
        <v>286.26780000000002</v>
      </c>
    </row>
    <row r="9" spans="1:24">
      <c r="A9" t="s">
        <v>5</v>
      </c>
      <c r="B9">
        <v>6712.2730000000001</v>
      </c>
      <c r="C9">
        <v>4622.6059999999998</v>
      </c>
      <c r="D9">
        <v>2863.8150000000001</v>
      </c>
      <c r="E9">
        <v>1974.549</v>
      </c>
      <c r="F9">
        <v>1471.827</v>
      </c>
      <c r="G9">
        <v>1163.384</v>
      </c>
      <c r="H9">
        <v>954.49419999999998</v>
      </c>
      <c r="I9">
        <v>804.13900000000001</v>
      </c>
      <c r="J9">
        <v>700.9982</v>
      </c>
      <c r="K9">
        <v>615.40509999999995</v>
      </c>
      <c r="L9">
        <v>553.84780000000001</v>
      </c>
      <c r="M9">
        <v>495.76909999999998</v>
      </c>
      <c r="N9">
        <v>450.48329999999999</v>
      </c>
      <c r="O9">
        <v>415.8578</v>
      </c>
      <c r="P9">
        <v>384.77109999999999</v>
      </c>
      <c r="Q9">
        <v>365.33690000000001</v>
      </c>
      <c r="R9">
        <v>339.68979999999999</v>
      </c>
      <c r="S9">
        <v>318.34190000000001</v>
      </c>
      <c r="T9">
        <v>300.75839999999999</v>
      </c>
      <c r="U9">
        <v>289.18189999999998</v>
      </c>
    </row>
    <row r="10" spans="1:24">
      <c r="A10" t="s">
        <v>6</v>
      </c>
      <c r="B10">
        <v>6794.625</v>
      </c>
      <c r="C10">
        <v>4660.9790000000003</v>
      </c>
      <c r="D10">
        <v>2903.154</v>
      </c>
      <c r="E10">
        <v>1985.558</v>
      </c>
      <c r="F10">
        <v>1495.2950000000001</v>
      </c>
      <c r="G10">
        <v>1177.817</v>
      </c>
      <c r="H10">
        <v>961.98829999999998</v>
      </c>
      <c r="I10">
        <v>817.34889999999996</v>
      </c>
      <c r="J10">
        <v>713.49919999999997</v>
      </c>
      <c r="K10">
        <v>626.5915</v>
      </c>
      <c r="L10">
        <v>559.32759999999996</v>
      </c>
      <c r="M10">
        <v>502.60109999999997</v>
      </c>
      <c r="N10">
        <v>459.916</v>
      </c>
      <c r="O10">
        <v>422.89109999999999</v>
      </c>
      <c r="P10">
        <v>391.1671</v>
      </c>
      <c r="Q10">
        <v>362.56299999999999</v>
      </c>
      <c r="R10">
        <v>340.81380000000001</v>
      </c>
      <c r="S10">
        <v>321.6651</v>
      </c>
      <c r="T10">
        <v>304.3227</v>
      </c>
      <c r="U10">
        <v>288.38979999999998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Readme</vt:lpstr>
      <vt:lpstr>AA_T_pho_ty</vt:lpstr>
      <vt:lpstr>AA_pho_A</vt:lpstr>
      <vt:lpstr>AA_pho_ind</vt:lpstr>
      <vt:lpstr>AA_pho_pat</vt:lpstr>
      <vt:lpstr>AA_T_pho_den</vt:lpstr>
      <vt:lpstr>AA_S_pho_den</vt:lpstr>
      <vt:lpstr>AA_T_phi_ty</vt:lpstr>
      <vt:lpstr>AA_phi_A</vt:lpstr>
      <vt:lpstr>AA_phi_ind</vt:lpstr>
      <vt:lpstr>AA_phi_pat</vt:lpstr>
      <vt:lpstr>AA_T_phi_den</vt:lpstr>
      <vt:lpstr>AA_S_phi_den</vt:lpstr>
      <vt:lpstr>AA_T_amphi_ty</vt:lpstr>
      <vt:lpstr>AA_amphi_den</vt:lpstr>
      <vt:lpstr>AA_R_phophi_ty</vt:lpstr>
      <vt:lpstr> AA_R_phoamp_ty </vt:lpstr>
      <vt:lpstr>AA_R_phophi_A</vt:lpstr>
      <vt:lpstr>Chg_T_pos</vt:lpstr>
      <vt:lpstr>Chg_pos_A</vt:lpstr>
      <vt:lpstr>Chg_T_pos_den </vt:lpstr>
      <vt:lpstr>Chg_S_pos_den</vt:lpstr>
      <vt:lpstr>Chg_T_neg</vt:lpstr>
      <vt:lpstr>Chg_neg_A</vt:lpstr>
      <vt:lpstr>Chg_T_neg_den </vt:lpstr>
      <vt:lpstr>Chg_S_neg_den</vt:lpstr>
      <vt:lpstr>Chg_T</vt:lpstr>
      <vt:lpstr>Chg_T_den </vt:lpstr>
      <vt:lpstr> Chg_R_posneg </vt:lpstr>
      <vt:lpstr>Chg_R_pos_tchg </vt:lpstr>
      <vt:lpstr>Chg_R_posneg_A </vt:lpstr>
      <vt:lpstr>T_A</vt:lpstr>
      <vt:lpstr>Shape_factor</vt:lpstr>
      <vt:lpstr>AA1.4</vt:lpstr>
      <vt:lpstr>AA2</vt:lpstr>
      <vt:lpstr>AA3</vt:lpstr>
      <vt:lpstr>AA4</vt:lpstr>
      <vt:lpstr>AA5</vt:lpstr>
      <vt:lpstr>AA6</vt:lpstr>
      <vt:lpstr>AA7</vt:lpstr>
      <vt:lpstr>AA8</vt:lpstr>
      <vt:lpstr>AA9</vt:lpstr>
      <vt:lpstr>AA10</vt:lpstr>
      <vt:lpstr>AA11</vt:lpstr>
      <vt:lpstr>AA12</vt:lpstr>
      <vt:lpstr>AA13</vt:lpstr>
      <vt:lpstr>AA14</vt:lpstr>
      <vt:lpstr>AA15</vt:lpstr>
      <vt:lpstr>AA16</vt:lpstr>
      <vt:lpstr>AA17</vt:lpstr>
      <vt:lpstr>AA18</vt:lpstr>
      <vt:lpstr>AA19</vt:lpstr>
      <vt:lpstr>AA20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2013-01-27T16:37:44Z</dcterms:modified>
</cp:coreProperties>
</file>