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30" yWindow="570" windowWidth="16935" windowHeight="5070"/>
  </bookViews>
  <sheets>
    <sheet name="Negative  vs. Positive (ab-..." sheetId="1" r:id="rId1"/>
  </sheets>
  <definedNames>
    <definedName name="_xlnm._FilterDatabase" localSheetId="0" hidden="1">'Negative  vs. Positive (ab-...'!$A$1:$J$1</definedName>
  </definedNames>
  <calcPr calcId="145621"/>
</workbook>
</file>

<file path=xl/calcChain.xml><?xml version="1.0" encoding="utf-8"?>
<calcChain xmlns="http://schemas.openxmlformats.org/spreadsheetml/2006/main">
  <c r="J58" i="1" l="1"/>
  <c r="H58" i="1"/>
  <c r="J178" i="1"/>
  <c r="H178" i="1"/>
  <c r="J145" i="1"/>
  <c r="H145" i="1"/>
  <c r="J108" i="1"/>
  <c r="H108" i="1"/>
  <c r="J39" i="1"/>
  <c r="H39" i="1"/>
  <c r="J69" i="1"/>
  <c r="H69" i="1"/>
  <c r="J48" i="1"/>
  <c r="H48" i="1"/>
  <c r="J81" i="1"/>
  <c r="H81" i="1"/>
  <c r="J172" i="1"/>
  <c r="H172" i="1"/>
  <c r="J70" i="1"/>
  <c r="H70" i="1"/>
  <c r="J7" i="1"/>
  <c r="H7" i="1"/>
  <c r="J146" i="1"/>
  <c r="H146" i="1"/>
  <c r="J12" i="1"/>
  <c r="H12" i="1"/>
  <c r="J77" i="1"/>
  <c r="H77" i="1"/>
  <c r="J38" i="1"/>
  <c r="H38" i="1"/>
  <c r="J17" i="1"/>
  <c r="H17" i="1"/>
  <c r="J42" i="1"/>
  <c r="H42" i="1"/>
  <c r="J106" i="1"/>
  <c r="H106" i="1"/>
  <c r="J27" i="1"/>
  <c r="H27" i="1"/>
  <c r="J258" i="1"/>
  <c r="H258" i="1"/>
  <c r="J203" i="1"/>
  <c r="H203" i="1"/>
  <c r="J132" i="1"/>
  <c r="H132" i="1"/>
  <c r="J94" i="1"/>
  <c r="H94" i="1"/>
  <c r="J9" i="1"/>
  <c r="H9" i="1"/>
  <c r="J193" i="1"/>
  <c r="H193" i="1"/>
  <c r="J231" i="1"/>
  <c r="H231" i="1"/>
  <c r="J59" i="1"/>
  <c r="H59" i="1"/>
  <c r="J130" i="1"/>
  <c r="H130" i="1"/>
  <c r="J95" i="1"/>
  <c r="H95" i="1"/>
  <c r="J28" i="1"/>
  <c r="H28" i="1"/>
  <c r="J187" i="1"/>
  <c r="H187" i="1"/>
  <c r="J92" i="1"/>
  <c r="H92" i="1"/>
  <c r="J82" i="1"/>
  <c r="H82" i="1"/>
  <c r="J140" i="1"/>
  <c r="H140" i="1"/>
  <c r="J202" i="1"/>
  <c r="H202" i="1"/>
  <c r="J121" i="1"/>
  <c r="H121" i="1"/>
  <c r="J158" i="1"/>
  <c r="H158" i="1"/>
  <c r="J84" i="1"/>
  <c r="H84" i="1"/>
  <c r="J188" i="1"/>
  <c r="H188" i="1"/>
  <c r="J169" i="1"/>
  <c r="H169" i="1"/>
  <c r="J254" i="1"/>
  <c r="H254" i="1"/>
  <c r="J112" i="1"/>
  <c r="H112" i="1"/>
  <c r="J22" i="1"/>
  <c r="H22" i="1"/>
  <c r="J103" i="1"/>
  <c r="H103" i="1"/>
  <c r="J154" i="1"/>
  <c r="H154" i="1"/>
  <c r="J244" i="1"/>
  <c r="H244" i="1"/>
  <c r="J50" i="1"/>
  <c r="H50" i="1"/>
  <c r="J18" i="1"/>
  <c r="H18" i="1"/>
  <c r="J101" i="1"/>
  <c r="H101" i="1"/>
  <c r="J163" i="1"/>
  <c r="H163" i="1"/>
  <c r="J124" i="1"/>
  <c r="H124" i="1"/>
  <c r="J243" i="1"/>
  <c r="H243" i="1"/>
  <c r="J218" i="1"/>
  <c r="H218" i="1"/>
  <c r="J105" i="1"/>
  <c r="H105" i="1"/>
  <c r="J15" i="1"/>
  <c r="H15" i="1"/>
  <c r="J182" i="1"/>
  <c r="H182" i="1"/>
  <c r="J64" i="1"/>
  <c r="H64" i="1"/>
  <c r="J228" i="1"/>
  <c r="H228" i="1"/>
  <c r="J256" i="1"/>
  <c r="H256" i="1"/>
  <c r="J263" i="1"/>
  <c r="H263" i="1"/>
  <c r="J41" i="1"/>
  <c r="H41" i="1"/>
  <c r="J250" i="1"/>
  <c r="H250" i="1"/>
  <c r="J99" i="1"/>
  <c r="H99" i="1"/>
  <c r="J248" i="1"/>
  <c r="H248" i="1"/>
  <c r="J10" i="1"/>
  <c r="H10" i="1"/>
  <c r="J217" i="1"/>
  <c r="H217" i="1"/>
  <c r="J52" i="1"/>
  <c r="H52" i="1"/>
  <c r="J238" i="1"/>
  <c r="H238" i="1"/>
  <c r="J117" i="1"/>
  <c r="H117" i="1"/>
  <c r="J233" i="1"/>
  <c r="H233" i="1"/>
  <c r="J141" i="1"/>
  <c r="H141" i="1"/>
  <c r="J136" i="1"/>
  <c r="H136" i="1"/>
  <c r="J91" i="1"/>
  <c r="H91" i="1"/>
  <c r="J246" i="1"/>
  <c r="H246" i="1"/>
  <c r="J67" i="1"/>
  <c r="H67" i="1"/>
  <c r="J253" i="1"/>
  <c r="H253" i="1"/>
  <c r="J264" i="1"/>
  <c r="H264" i="1"/>
  <c r="J252" i="1"/>
  <c r="H252" i="1"/>
  <c r="J114" i="1"/>
  <c r="H114" i="1"/>
  <c r="J204" i="1"/>
  <c r="H204" i="1"/>
  <c r="J221" i="1"/>
  <c r="H221" i="1"/>
  <c r="J51" i="1"/>
  <c r="H51" i="1"/>
  <c r="J14" i="1"/>
  <c r="H14" i="1"/>
  <c r="J209" i="1"/>
  <c r="H209" i="1"/>
  <c r="J226" i="1"/>
  <c r="H226" i="1"/>
  <c r="J183" i="1"/>
  <c r="H183" i="1"/>
  <c r="J227" i="1"/>
  <c r="H227" i="1"/>
  <c r="J60" i="1"/>
  <c r="H60" i="1"/>
  <c r="J129" i="1"/>
  <c r="H129" i="1"/>
  <c r="J241" i="1"/>
  <c r="H241" i="1"/>
  <c r="J125" i="1"/>
  <c r="H125" i="1"/>
  <c r="J237" i="1"/>
  <c r="H237" i="1"/>
  <c r="J89" i="1"/>
  <c r="H89" i="1"/>
  <c r="J247" i="1"/>
  <c r="H247" i="1"/>
  <c r="J191" i="1"/>
  <c r="H191" i="1"/>
  <c r="J110" i="1"/>
  <c r="H110" i="1"/>
  <c r="J24" i="1"/>
  <c r="H24" i="1"/>
  <c r="J109" i="1"/>
  <c r="H109" i="1"/>
  <c r="J127" i="1"/>
  <c r="H127" i="1"/>
  <c r="J259" i="1"/>
  <c r="H259" i="1"/>
  <c r="J224" i="1"/>
  <c r="H224" i="1"/>
  <c r="J257" i="1"/>
  <c r="H257" i="1"/>
  <c r="J35" i="1"/>
  <c r="H35" i="1"/>
  <c r="J32" i="1"/>
  <c r="H32" i="1"/>
  <c r="J44" i="1"/>
  <c r="H44" i="1"/>
  <c r="J115" i="1"/>
  <c r="H115" i="1"/>
  <c r="J197" i="1"/>
  <c r="H197" i="1"/>
  <c r="J118" i="1"/>
  <c r="H118" i="1"/>
  <c r="J152" i="1"/>
  <c r="H152" i="1"/>
  <c r="J79" i="1"/>
  <c r="H79" i="1"/>
  <c r="J143" i="1"/>
  <c r="H143" i="1"/>
  <c r="J208" i="1"/>
  <c r="H208" i="1"/>
  <c r="J223" i="1"/>
  <c r="H223" i="1"/>
  <c r="J160" i="1"/>
  <c r="H160" i="1"/>
  <c r="J171" i="1"/>
  <c r="H171" i="1"/>
  <c r="J210" i="1"/>
  <c r="H210" i="1"/>
  <c r="J142" i="1"/>
  <c r="H142" i="1"/>
  <c r="J165" i="1"/>
  <c r="H165" i="1"/>
  <c r="J166" i="1"/>
  <c r="H166" i="1"/>
  <c r="J177" i="1"/>
  <c r="H177" i="1"/>
  <c r="J180" i="1"/>
  <c r="H180" i="1"/>
  <c r="J239" i="1"/>
  <c r="H239" i="1"/>
  <c r="J134" i="1"/>
  <c r="H134" i="1"/>
  <c r="J66" i="1"/>
  <c r="H66" i="1"/>
  <c r="J235" i="1"/>
  <c r="H235" i="1"/>
  <c r="J150" i="1"/>
  <c r="H150" i="1"/>
  <c r="J194" i="1"/>
  <c r="H194" i="1"/>
  <c r="J78" i="1"/>
  <c r="H78" i="1"/>
  <c r="J128" i="1"/>
  <c r="H128" i="1"/>
  <c r="J214" i="1"/>
  <c r="H214" i="1"/>
  <c r="J159" i="1"/>
  <c r="H159" i="1"/>
  <c r="J46" i="1"/>
  <c r="H46" i="1"/>
  <c r="J57" i="1"/>
  <c r="H57" i="1"/>
  <c r="J222" i="1"/>
  <c r="H222" i="1"/>
  <c r="J53" i="1"/>
  <c r="H53" i="1"/>
  <c r="J85" i="1"/>
  <c r="H85" i="1"/>
  <c r="J47" i="1"/>
  <c r="H47" i="1"/>
  <c r="J151" i="1"/>
  <c r="H151" i="1"/>
  <c r="J75" i="1"/>
  <c r="H75" i="1"/>
  <c r="J120" i="1"/>
  <c r="H120" i="1"/>
  <c r="J181" i="1"/>
  <c r="H181" i="1"/>
  <c r="J26" i="1"/>
  <c r="H26" i="1"/>
  <c r="J49" i="1"/>
  <c r="H49" i="1"/>
  <c r="J225" i="1"/>
  <c r="H225" i="1"/>
  <c r="J19" i="1"/>
  <c r="H19" i="1"/>
  <c r="J16" i="1"/>
  <c r="H16" i="1"/>
  <c r="J261" i="1"/>
  <c r="H261" i="1"/>
  <c r="J138" i="1"/>
  <c r="H138" i="1"/>
  <c r="J184" i="1"/>
  <c r="H184" i="1"/>
  <c r="J107" i="1"/>
  <c r="H107" i="1"/>
  <c r="J11" i="1"/>
  <c r="H11" i="1"/>
  <c r="J5" i="1"/>
  <c r="H5" i="1"/>
  <c r="J149" i="1"/>
  <c r="H149" i="1"/>
  <c r="J174" i="1"/>
  <c r="H174" i="1"/>
  <c r="J54" i="1"/>
  <c r="H54" i="1"/>
  <c r="J102" i="1"/>
  <c r="H102" i="1"/>
  <c r="J31" i="1"/>
  <c r="H31" i="1"/>
  <c r="J213" i="1"/>
  <c r="H213" i="1"/>
  <c r="J156" i="1"/>
  <c r="H156" i="1"/>
  <c r="J179" i="1"/>
  <c r="H179" i="1"/>
  <c r="J37" i="1"/>
  <c r="H37" i="1"/>
  <c r="J175" i="1"/>
  <c r="H175" i="1"/>
  <c r="J3" i="1"/>
  <c r="H3" i="1"/>
  <c r="J198" i="1"/>
  <c r="H198" i="1"/>
  <c r="J230" i="1"/>
  <c r="H230" i="1"/>
  <c r="J153" i="1"/>
  <c r="H153" i="1"/>
  <c r="J123" i="1"/>
  <c r="H123" i="1"/>
  <c r="J262" i="1"/>
  <c r="H262" i="1"/>
  <c r="J173" i="1"/>
  <c r="H173" i="1"/>
  <c r="J113" i="1"/>
  <c r="H113" i="1"/>
  <c r="J98" i="1"/>
  <c r="H98" i="1"/>
  <c r="J45" i="1"/>
  <c r="H45" i="1"/>
  <c r="J137" i="1"/>
  <c r="H137" i="1"/>
  <c r="J96" i="1"/>
  <c r="H96" i="1"/>
  <c r="J161" i="1"/>
  <c r="H161" i="1"/>
  <c r="J135" i="1"/>
  <c r="H135" i="1"/>
  <c r="J56" i="1"/>
  <c r="H56" i="1"/>
  <c r="J104" i="1"/>
  <c r="H104" i="1"/>
  <c r="J249" i="1"/>
  <c r="H249" i="1"/>
  <c r="J190" i="1"/>
  <c r="H190" i="1"/>
  <c r="J13" i="1"/>
  <c r="H13" i="1"/>
  <c r="J144" i="1"/>
  <c r="H144" i="1"/>
  <c r="J157" i="1"/>
  <c r="H157" i="1"/>
  <c r="J122" i="1"/>
  <c r="H122" i="1"/>
  <c r="J168" i="1"/>
  <c r="H168" i="1"/>
  <c r="J63" i="1"/>
  <c r="H63" i="1"/>
  <c r="J148" i="1"/>
  <c r="H148" i="1"/>
  <c r="J200" i="1"/>
  <c r="H200" i="1"/>
  <c r="J251" i="1"/>
  <c r="H251" i="1"/>
  <c r="J61" i="1"/>
  <c r="H61" i="1"/>
  <c r="J196" i="1"/>
  <c r="H196" i="1"/>
  <c r="J83" i="1"/>
  <c r="H83" i="1"/>
  <c r="J97" i="1"/>
  <c r="H97" i="1"/>
  <c r="J234" i="1"/>
  <c r="H234" i="1"/>
  <c r="J185" i="1"/>
  <c r="H185" i="1"/>
  <c r="J34" i="1"/>
  <c r="H34" i="1"/>
  <c r="J126" i="1"/>
  <c r="H126" i="1"/>
  <c r="J72" i="1"/>
  <c r="H72" i="1"/>
  <c r="J201" i="1"/>
  <c r="H201" i="1"/>
  <c r="J242" i="1"/>
  <c r="H242" i="1"/>
  <c r="J240" i="1"/>
  <c r="H240" i="1"/>
  <c r="J6" i="1"/>
  <c r="H6" i="1"/>
  <c r="J192" i="1"/>
  <c r="H192" i="1"/>
  <c r="J199" i="1"/>
  <c r="H199" i="1"/>
  <c r="J111" i="1"/>
  <c r="H111" i="1"/>
  <c r="J215" i="1"/>
  <c r="H215" i="1"/>
  <c r="J55" i="1"/>
  <c r="H55" i="1"/>
  <c r="J76" i="1"/>
  <c r="H76" i="1"/>
  <c r="J131" i="1"/>
  <c r="H131" i="1"/>
  <c r="J211" i="1"/>
  <c r="H211" i="1"/>
  <c r="J4" i="1"/>
  <c r="H4" i="1"/>
  <c r="J170" i="1"/>
  <c r="H170" i="1"/>
  <c r="J25" i="1"/>
  <c r="H25" i="1"/>
  <c r="J207" i="1"/>
  <c r="H207" i="1"/>
  <c r="J216" i="1"/>
  <c r="H216" i="1"/>
  <c r="J220" i="1"/>
  <c r="H220" i="1"/>
  <c r="J20" i="1"/>
  <c r="H20" i="1"/>
  <c r="J236" i="1"/>
  <c r="H236" i="1"/>
  <c r="J229" i="1"/>
  <c r="H229" i="1"/>
  <c r="J40" i="1"/>
  <c r="H40" i="1"/>
  <c r="J23" i="1"/>
  <c r="H23" i="1"/>
  <c r="J155" i="1"/>
  <c r="H155" i="1"/>
  <c r="J116" i="1"/>
  <c r="H116" i="1"/>
  <c r="J189" i="1"/>
  <c r="H189" i="1"/>
  <c r="J8" i="1"/>
  <c r="H8" i="1"/>
  <c r="J65" i="1"/>
  <c r="H65" i="1"/>
  <c r="J245" i="1"/>
  <c r="H245" i="1"/>
  <c r="J80" i="1"/>
  <c r="H80" i="1"/>
  <c r="J147" i="1"/>
  <c r="H147" i="1"/>
  <c r="J68" i="1"/>
  <c r="H68" i="1"/>
  <c r="J21" i="1"/>
  <c r="H21" i="1"/>
  <c r="J33" i="1"/>
  <c r="H33" i="1"/>
  <c r="J73" i="1"/>
  <c r="H73" i="1"/>
  <c r="J36" i="1"/>
  <c r="H36" i="1"/>
  <c r="J133" i="1"/>
  <c r="H133" i="1"/>
  <c r="J206" i="1"/>
  <c r="H206" i="1"/>
  <c r="J62" i="1"/>
  <c r="H62" i="1"/>
  <c r="J2" i="1"/>
  <c r="H2" i="1"/>
  <c r="J195" i="1"/>
  <c r="H195" i="1"/>
  <c r="J87" i="1"/>
  <c r="H87" i="1"/>
  <c r="J90" i="1"/>
  <c r="H90" i="1"/>
  <c r="J176" i="1"/>
  <c r="H176" i="1"/>
  <c r="J119" i="1"/>
  <c r="H119" i="1"/>
  <c r="J205" i="1"/>
  <c r="H205" i="1"/>
  <c r="J139" i="1"/>
  <c r="H139" i="1"/>
  <c r="J74" i="1"/>
  <c r="H74" i="1"/>
  <c r="J162" i="1"/>
  <c r="H162" i="1"/>
  <c r="J93" i="1"/>
  <c r="H93" i="1"/>
  <c r="J212" i="1"/>
  <c r="H212" i="1"/>
  <c r="J255" i="1"/>
  <c r="H255" i="1"/>
  <c r="J88" i="1"/>
  <c r="H88" i="1"/>
  <c r="J260" i="1"/>
  <c r="H260" i="1"/>
  <c r="J30" i="1"/>
  <c r="H30" i="1"/>
  <c r="J232" i="1"/>
  <c r="H232" i="1"/>
  <c r="J219" i="1"/>
  <c r="H219" i="1"/>
  <c r="J167" i="1"/>
  <c r="H167" i="1"/>
  <c r="J29" i="1"/>
  <c r="H29" i="1"/>
  <c r="J164" i="1"/>
  <c r="H164" i="1"/>
  <c r="J86" i="1"/>
  <c r="H86" i="1"/>
  <c r="J43" i="1"/>
  <c r="H43" i="1"/>
  <c r="J71" i="1"/>
  <c r="H71" i="1"/>
  <c r="J100" i="1"/>
  <c r="H100" i="1"/>
  <c r="J186" i="1"/>
  <c r="H186" i="1"/>
</calcChain>
</file>

<file path=xl/sharedStrings.xml><?xml version="1.0" encoding="utf-8"?>
<sst xmlns="http://schemas.openxmlformats.org/spreadsheetml/2006/main" count="536" uniqueCount="409">
  <si>
    <t>Feature ID</t>
  </si>
  <si>
    <t>ab-tri_asb-10042</t>
  </si>
  <si>
    <t>ab-tri_asb-10057</t>
  </si>
  <si>
    <t>ab-tri_asb-10256</t>
  </si>
  <si>
    <t>ab-tri_asb-10430</t>
  </si>
  <si>
    <t>ab-tri_asb-10514</t>
  </si>
  <si>
    <t>ab-tri_asb-10790</t>
  </si>
  <si>
    <t>ab-tri_asb-10848</t>
  </si>
  <si>
    <t>ab-tri_asb-10924</t>
  </si>
  <si>
    <t>ab-tri_asb-10987</t>
  </si>
  <si>
    <t>ab-tri_asb-11093</t>
  </si>
  <si>
    <t>ab-tri_asb-1117</t>
  </si>
  <si>
    <t>ab-tri_asb-11227</t>
  </si>
  <si>
    <t>ab-tri_asb-1126</t>
  </si>
  <si>
    <t>ab-tri_asb-11349</t>
  </si>
  <si>
    <t>ab-tri_asb-1137</t>
  </si>
  <si>
    <t>ab-tri_asb-11540</t>
  </si>
  <si>
    <t>ab-tri_asb-11573</t>
  </si>
  <si>
    <t>ab-tri_asb-11702</t>
  </si>
  <si>
    <t>ab-tri_asb-12</t>
  </si>
  <si>
    <t>ab-tri_asb-12346</t>
  </si>
  <si>
    <t>ab-tri_asb-1248</t>
  </si>
  <si>
    <t>ab-tri_asb-12723</t>
  </si>
  <si>
    <t>ab-tri_asb-12724</t>
  </si>
  <si>
    <t>ab-tri_asb-12735</t>
  </si>
  <si>
    <t>ab-tri_asb-12799</t>
  </si>
  <si>
    <t>ab-tri_asb-12805</t>
  </si>
  <si>
    <t>ab-tri_asb-13073</t>
  </si>
  <si>
    <t>ab-tri_asb-1322</t>
  </si>
  <si>
    <t>ab-tri_asb-13937</t>
  </si>
  <si>
    <t>ab-tri_asb-14152</t>
  </si>
  <si>
    <t>ab-tri_asb-14218</t>
  </si>
  <si>
    <t>ab-tri_asb-14282</t>
  </si>
  <si>
    <t>ab-tri_asb-14498</t>
  </si>
  <si>
    <t>ab-tri_asb-14569</t>
  </si>
  <si>
    <t>ab-tri_asb-14672</t>
  </si>
  <si>
    <t>ab-tri_asb-14827</t>
  </si>
  <si>
    <t>ab-tri_asb-1487</t>
  </si>
  <si>
    <t>ab-tri_asb-14966</t>
  </si>
  <si>
    <t>ab-tri_asb-15058</t>
  </si>
  <si>
    <t>ab-tri_asb-15105</t>
  </si>
  <si>
    <t>ab-tri_asb-15228</t>
  </si>
  <si>
    <t>ab-tri_asb-15456</t>
  </si>
  <si>
    <t>ab-tri_asb-1550</t>
  </si>
  <si>
    <t>ab-tri_asb-15606</t>
  </si>
  <si>
    <t>ab-tri_asb-15851</t>
  </si>
  <si>
    <t>ab-tri_asb-16200</t>
  </si>
  <si>
    <t>ab-tri_asb-16340</t>
  </si>
  <si>
    <t>ab-tri_asb-16431</t>
  </si>
  <si>
    <t>ab-tri_asb-16468</t>
  </si>
  <si>
    <t>ab-tri_asb-16712</t>
  </si>
  <si>
    <t>ab-tri_asb-16814</t>
  </si>
  <si>
    <t>ab-tri_asb-1694</t>
  </si>
  <si>
    <t>ab-tri_asb-17047</t>
  </si>
  <si>
    <t>ab-tri_asb-17241</t>
  </si>
  <si>
    <t>ab-tri_asb-17274</t>
  </si>
  <si>
    <t>ab-tri_asb-17464</t>
  </si>
  <si>
    <t>ab-tri_asb-1751</t>
  </si>
  <si>
    <t>ab-tri_asb-17548</t>
  </si>
  <si>
    <t>ab-tri_asb-17612</t>
  </si>
  <si>
    <t>ab-tri_asb-18381</t>
  </si>
  <si>
    <t>ab-tri_asb-18565</t>
  </si>
  <si>
    <t>ab-tri_asb-18870</t>
  </si>
  <si>
    <t>ab-tri_asb-19097</t>
  </si>
  <si>
    <t>ab-tri_asb-19247</t>
  </si>
  <si>
    <t>ab-tri_asb-19527</t>
  </si>
  <si>
    <t>ab-tri_asb-19588</t>
  </si>
  <si>
    <t>ab-tri_asb-1976</t>
  </si>
  <si>
    <t>ab-tri_asb-19928</t>
  </si>
  <si>
    <t>ab-tri_asb-20026</t>
  </si>
  <si>
    <t>ab-tri_asb-20051</t>
  </si>
  <si>
    <t>ab-tri_asb-20087</t>
  </si>
  <si>
    <t>ab-tri_asb-20245</t>
  </si>
  <si>
    <t>ab-tri_asb-20370</t>
  </si>
  <si>
    <t>ab-tri_asb-20511</t>
  </si>
  <si>
    <t>ab-tri_asb-20556</t>
  </si>
  <si>
    <t>ab-tri_asb-20642</t>
  </si>
  <si>
    <t>ab-tri_asb-20802</t>
  </si>
  <si>
    <t>ab-tri_asb-21027</t>
  </si>
  <si>
    <t>ab-tri_asb-21207</t>
  </si>
  <si>
    <t>ab-tri_asb-21258</t>
  </si>
  <si>
    <t>ab-tri_asb-21414</t>
  </si>
  <si>
    <t>ab-tri_asb-2153</t>
  </si>
  <si>
    <t>ab-tri_asb-21676</t>
  </si>
  <si>
    <t>ab-tri_asb-21776</t>
  </si>
  <si>
    <t>ab-tri_asb-21946</t>
  </si>
  <si>
    <t>ab-tri_asb-2222</t>
  </si>
  <si>
    <t>ab-tri_asb-22497</t>
  </si>
  <si>
    <t>ab-tri_asb-22639</t>
  </si>
  <si>
    <t>ab-tri_asb-2264</t>
  </si>
  <si>
    <t>ab-tri_asb-2277</t>
  </si>
  <si>
    <t>ab-tri_asb-22813</t>
  </si>
  <si>
    <t>ab-tri_asb-22820</t>
  </si>
  <si>
    <t>ab-tri_asb-23222</t>
  </si>
  <si>
    <t>ab-tri_asb-23304</t>
  </si>
  <si>
    <t>ab-tri_asb-23619</t>
  </si>
  <si>
    <t>ab-tri_asb-23653</t>
  </si>
  <si>
    <t>ab-tri_asb-23745</t>
  </si>
  <si>
    <t>ab-tri_asb-23994</t>
  </si>
  <si>
    <t>ab-tri_asb-24285</t>
  </si>
  <si>
    <t>ab-tri_asb-24551</t>
  </si>
  <si>
    <t>ab-tri_asb-2483</t>
  </si>
  <si>
    <t>ab-tri_asb-2497</t>
  </si>
  <si>
    <t>ab-tri_asb-25034</t>
  </si>
  <si>
    <t>ab-tri_asb-25091</t>
  </si>
  <si>
    <t>ab-tri_asb-25215</t>
  </si>
  <si>
    <t>ab-tri_asb-2523</t>
  </si>
  <si>
    <t>ab-tri_asb-25281</t>
  </si>
  <si>
    <t>ab-tri_asb-25316</t>
  </si>
  <si>
    <t>ab-tri_asb-25404</t>
  </si>
  <si>
    <t>ab-tri_asb-25636</t>
  </si>
  <si>
    <t>ab-tri_asb-25880</t>
  </si>
  <si>
    <t>ab-tri_asb-26293</t>
  </si>
  <si>
    <t>ab-tri_asb-26409</t>
  </si>
  <si>
    <t>ab-tri_asb-26498</t>
  </si>
  <si>
    <t>ab-tri_asb-26712</t>
  </si>
  <si>
    <t>ab-tri_asb-26754</t>
  </si>
  <si>
    <t>ab-tri_asb-26764</t>
  </si>
  <si>
    <t>ab-tri_asb-2682</t>
  </si>
  <si>
    <t>ab-tri_asb-27156</t>
  </si>
  <si>
    <t>ab-tri_asb-27480</t>
  </si>
  <si>
    <t>ab-tri_asb-27505</t>
  </si>
  <si>
    <t>ab-tri_asb-27804</t>
  </si>
  <si>
    <t>ab-tri_asb-28056</t>
  </si>
  <si>
    <t>ab-tri_asb-2812</t>
  </si>
  <si>
    <t>ab-tri_asb-28287</t>
  </si>
  <si>
    <t>ab-tri_asb-28477</t>
  </si>
  <si>
    <t>ab-tri_asb-28966</t>
  </si>
  <si>
    <t>ab-tri_asb-2925</t>
  </si>
  <si>
    <t>ab-tri_asb-29538</t>
  </si>
  <si>
    <t>ab-tri_asb-29929</t>
  </si>
  <si>
    <t>ab-tri_asb-30120</t>
  </si>
  <si>
    <t>ab-tri_asb-3028</t>
  </si>
  <si>
    <t>ab-tri_asb-30329</t>
  </si>
  <si>
    <t>ab-tri_asb-3076</t>
  </si>
  <si>
    <t>ab-tri_asb-31168</t>
  </si>
  <si>
    <t>ab-tri_asb-31197</t>
  </si>
  <si>
    <t>ab-tri_asb-31309</t>
  </si>
  <si>
    <t>ab-tri_asb-31489</t>
  </si>
  <si>
    <t>ab-tri_asb-31711</t>
  </si>
  <si>
    <t>ab-tri_asb-31712</t>
  </si>
  <si>
    <t>ab-tri_asb-31738</t>
  </si>
  <si>
    <t>ab-tri_asb-3208</t>
  </si>
  <si>
    <t>ab-tri_asb-32339</t>
  </si>
  <si>
    <t>ab-tri_asb-33068</t>
  </si>
  <si>
    <t>ab-tri_asb-3330</t>
  </si>
  <si>
    <t>ab-tri_asb-33316</t>
  </si>
  <si>
    <t>ab-tri_asb-33340</t>
  </si>
  <si>
    <t>ab-tri_asb-33482</t>
  </si>
  <si>
    <t>ab-tri_asb-33511</t>
  </si>
  <si>
    <t>ab-tri_asb-34343</t>
  </si>
  <si>
    <t>ab-tri_asb-34451</t>
  </si>
  <si>
    <t>ab-tri_asb-34471</t>
  </si>
  <si>
    <t>ab-tri_asb-34851</t>
  </si>
  <si>
    <t>ab-tri_asb-35258</t>
  </si>
  <si>
    <t>ab-tri_asb-35998</t>
  </si>
  <si>
    <t>ab-tri_asb-36045</t>
  </si>
  <si>
    <t>ab-tri_asb-36270</t>
  </si>
  <si>
    <t>ab-tri_asb-36572</t>
  </si>
  <si>
    <t>ab-tri_asb-36957</t>
  </si>
  <si>
    <t>ab-tri_asb-3724</t>
  </si>
  <si>
    <t>ab-tri_asb-37517</t>
  </si>
  <si>
    <t>ab-tri_asb-3776</t>
  </si>
  <si>
    <t>ab-tri_asb-3777</t>
  </si>
  <si>
    <t>ab-tri_asb-37939</t>
  </si>
  <si>
    <t>ab-tri_asb-38209</t>
  </si>
  <si>
    <t>ab-tri_asb-38697</t>
  </si>
  <si>
    <t>ab-tri_asb-388</t>
  </si>
  <si>
    <t>ab-tri_asb-39254</t>
  </si>
  <si>
    <t>ab-tri_asb-39705</t>
  </si>
  <si>
    <t>ab-tri_asb-39852</t>
  </si>
  <si>
    <t>ab-tri_asb-4245</t>
  </si>
  <si>
    <t>ab-tri_asb-42590</t>
  </si>
  <si>
    <t>ab-tri_asb-44925</t>
  </si>
  <si>
    <t>ab-tri_asb-4578</t>
  </si>
  <si>
    <t>ab-tri_asb-45822</t>
  </si>
  <si>
    <t>ab-tri_asb-46402</t>
  </si>
  <si>
    <t>ab-tri_asb-4787</t>
  </si>
  <si>
    <t>ab-tri_asb-50435</t>
  </si>
  <si>
    <t>ab-tri_asb-50454</t>
  </si>
  <si>
    <t>ab-tri_asb-50905</t>
  </si>
  <si>
    <t>ab-tri_asb-50927</t>
  </si>
  <si>
    <t>ab-tri_asb-51807</t>
  </si>
  <si>
    <t>ab-tri_asb-52331</t>
  </si>
  <si>
    <t>ab-tri_asb-5305</t>
  </si>
  <si>
    <t>ab-tri_asb-53401</t>
  </si>
  <si>
    <t>ab-tri_asb-53459</t>
  </si>
  <si>
    <t>ab-tri_asb-53537</t>
  </si>
  <si>
    <t>ab-tri_asb-54009</t>
  </si>
  <si>
    <t>ab-tri_asb-54152</t>
  </si>
  <si>
    <t>ab-tri_asb-54628</t>
  </si>
  <si>
    <t>ab-tri_asb-5470</t>
  </si>
  <si>
    <t>ab-tri_asb-54736</t>
  </si>
  <si>
    <t>ab-tri_asb-54969</t>
  </si>
  <si>
    <t>ab-tri_asb-55112</t>
  </si>
  <si>
    <t>ab-tri_asb-55434</t>
  </si>
  <si>
    <t>ab-tri_asb-5547</t>
  </si>
  <si>
    <t>ab-tri_asb-55598</t>
  </si>
  <si>
    <t>ab-tri_asb-55675</t>
  </si>
  <si>
    <t>ab-tri_asb-55716</t>
  </si>
  <si>
    <t>ab-tri_asb-55759</t>
  </si>
  <si>
    <t>ab-tri_asb-55767</t>
  </si>
  <si>
    <t>ab-tri_asb-55769</t>
  </si>
  <si>
    <t>ab-tri_asb-55787</t>
  </si>
  <si>
    <t>ab-tri_asb-55788</t>
  </si>
  <si>
    <t>ab-tri_asb-55980</t>
  </si>
  <si>
    <t>ab-tri_asb-56110</t>
  </si>
  <si>
    <t>ab-tri_asb-56176</t>
  </si>
  <si>
    <t>ab-tri_asb-56282</t>
  </si>
  <si>
    <t>ab-tri_asb-56337</t>
  </si>
  <si>
    <t>ab-tri_asb-56375</t>
  </si>
  <si>
    <t>ab-tri_asb-56376</t>
  </si>
  <si>
    <t>ab-tri_asb-56378</t>
  </si>
  <si>
    <t>ab-tri_asb-56395</t>
  </si>
  <si>
    <t>ab-tri_asb-56421</t>
  </si>
  <si>
    <t>ab-tri_asb-56473</t>
  </si>
  <si>
    <t>ab-tri_asb-56533</t>
  </si>
  <si>
    <t>ab-tri_asb-56613</t>
  </si>
  <si>
    <t>ab-tri_asb-56632</t>
  </si>
  <si>
    <t>ab-tri_asb-56688</t>
  </si>
  <si>
    <t>ab-tri_asb-56723</t>
  </si>
  <si>
    <t>ab-tri_asb-56741</t>
  </si>
  <si>
    <t>ab-tri_asb-56783</t>
  </si>
  <si>
    <t>ab-tri_asb-57266</t>
  </si>
  <si>
    <t>ab-tri_asb-57318</t>
  </si>
  <si>
    <t>ab-tri_asb-57321</t>
  </si>
  <si>
    <t>ab-tri_asb-57422</t>
  </si>
  <si>
    <t>ab-tri_asb-57717</t>
  </si>
  <si>
    <t>ab-tri_asb-57917</t>
  </si>
  <si>
    <t>ab-tri_asb-57918</t>
  </si>
  <si>
    <t>ab-tri_asb-57928</t>
  </si>
  <si>
    <t>ab-tri_asb-584</t>
  </si>
  <si>
    <t>ab-tri_asb-5977</t>
  </si>
  <si>
    <t>ab-tri_asb-5978</t>
  </si>
  <si>
    <t>ab-tri_asb-5989</t>
  </si>
  <si>
    <t>ab-tri_asb-5993</t>
  </si>
  <si>
    <t>ab-tri_asb-6587</t>
  </si>
  <si>
    <t>ab-tri_asb-6692</t>
  </si>
  <si>
    <t>ab-tri_asb-6696</t>
  </si>
  <si>
    <t>ab-tri_asb-6808</t>
  </si>
  <si>
    <t>ab-tri_asb-6833</t>
  </si>
  <si>
    <t>ab-tri_asb-6834</t>
  </si>
  <si>
    <t>ab-tri_asb-6838</t>
  </si>
  <si>
    <t>ab-tri_asb-7180</t>
  </si>
  <si>
    <t>ab-tri_asb-7217</t>
  </si>
  <si>
    <t>ab-tri_asb-723</t>
  </si>
  <si>
    <t>ab-tri_asb-730</t>
  </si>
  <si>
    <t>ab-tri_asb-7638</t>
  </si>
  <si>
    <t>ab-tri_asb-7798</t>
  </si>
  <si>
    <t>ab-tri_asb-7861</t>
  </si>
  <si>
    <t>ab-tri_asb-8077</t>
  </si>
  <si>
    <t>ab-tri_asb-8334</t>
  </si>
  <si>
    <t>ab-tri_asb-8590</t>
  </si>
  <si>
    <t>ab-tri_asb-8722</t>
  </si>
  <si>
    <t>ab-tri_asb-8745</t>
  </si>
  <si>
    <t>ab-tri_asb-8756</t>
  </si>
  <si>
    <t>ab-tri_asb-8973</t>
  </si>
  <si>
    <t>ab-tri_asb-9050</t>
  </si>
  <si>
    <t>ab-tri_asb-9120</t>
  </si>
  <si>
    <t>ab-tri_asb-9394</t>
  </si>
  <si>
    <t>ab-tri_asb-9462</t>
  </si>
  <si>
    <t>ab-tri_asb-9688</t>
  </si>
  <si>
    <t>ab-tri_asb-9877</t>
  </si>
  <si>
    <t>% Coverage</t>
  </si>
  <si>
    <t>Best match to NR-LIGHT protein database</t>
  </si>
  <si>
    <t>Match</t>
  </si>
  <si>
    <t>Aromatic amino acid hydroxylase</t>
  </si>
  <si>
    <t>Unknown product</t>
  </si>
  <si>
    <t>tetraspanin family integral membrane protein</t>
  </si>
  <si>
    <t>signal transduction - cellular_component - molecular_function</t>
  </si>
  <si>
    <t>Calponin</t>
  </si>
  <si>
    <t>Gamma-glutamyl hydrolase</t>
  </si>
  <si>
    <t>protein kinase TKL grouptyrosine kinase-like protein - kinase - protein phosphorylation - ATP binding - protein kinase - cellular_component</t>
  </si>
  <si>
    <t>UDP-glucuronosyl and UDP-glucosyl transferase</t>
  </si>
  <si>
    <t>Glucosamine 6-phosphate synthetases contain amidotransferase and phosphosugar isomerase</t>
  </si>
  <si>
    <t>Synaptobrevin - integral to membrane - lumen formation open tracheal system - synaptic vesicle docking involved in exocytosis - synaptic vesicle -</t>
  </si>
  <si>
    <t>Peroxisomal biogenesis protein (peroxin)</t>
  </si>
  <si>
    <t>Ribose-phosphate pyrophosphokinase</t>
  </si>
  <si>
    <t>Cyclophilin 1 - microtubule associated complex - salivary gland cell autophagic cell death - autophagic cell death - cyclin-dependent protein kinase</t>
  </si>
  <si>
    <t>Fibrillins</t>
  </si>
  <si>
    <t>hypothetical conserved protein</t>
  </si>
  <si>
    <t>Metal transporter CNNM2</t>
  </si>
  <si>
    <t>Calmodulin</t>
  </si>
  <si>
    <t>GJ20134</t>
  </si>
  <si>
    <t>Glossina morsitans morsitans 16S ribosomal RNA gene mitochondrial gene for mitochondrial RNA partial sequence</t>
  </si>
  <si>
    <t>transmembrane transporter - integral to membrane - transmembrane transport</t>
  </si>
  <si>
    <t>Uncharacterized protein - inner ear receptor cell differentiation - equilibrioception - sensory perception of light stimulus - photoreceptor cell</t>
  </si>
  <si>
    <t>aluminum tubes isoform G</t>
  </si>
  <si>
    <t>E.coli 23S ribosomal RNA (approx 80%) fragment A</t>
  </si>
  <si>
    <t>Uncharacterized protein - unfolded protein binding - protein folding - endoplasmic reticulum - calcium ion binding</t>
  </si>
  <si>
    <t>Synaptic vesicle transporter SVOP</t>
  </si>
  <si>
    <t>Adenylate/guanylate cyclase</t>
  </si>
  <si>
    <t>Golgi microtubule-associated protein - cis-Golgi network - protein targeting to Golgi</t>
  </si>
  <si>
    <t>ADP-ribosylation factor GTPase activator</t>
  </si>
  <si>
    <t>Formin Homology 2 Domain</t>
  </si>
  <si>
    <t>Aminoglycoside phosphotransferase domain-containing protein 1 - kinase - cytoplasm</t>
  </si>
  <si>
    <t>GABA receptor</t>
  </si>
  <si>
    <t>extra bases - axon - translation initiation factor binding - neuronal cell body - negative regulation of translation - oogenesis - axon midline</t>
  </si>
  <si>
    <t>Drosophila persimilis ribosomal RNA (Dper\28SrRNA:GL28069) rRNA</t>
  </si>
  <si>
    <t>GTP-binding protein SEC4 small G protein superfamily</t>
  </si>
  <si>
    <t>GF16720</t>
  </si>
  <si>
    <t>Forkhead/HNF-3-related transcription factor</t>
  </si>
  <si>
    <t>Na + -driven anion exchanger 1 - inorganic anion exchanger - sodium:bicarbonate symporter - plasma membrane - chloride transport - sodium ion</t>
  </si>
  <si>
    <t>zinc ion binding - intracellular - potassium channel regulator</t>
  </si>
  <si>
    <t>Membrane dipeptidase</t>
  </si>
  <si>
    <t>Zinc transporter</t>
  </si>
  <si>
    <t>Misexpression suppressor of ras 3</t>
  </si>
  <si>
    <t>Dichaete - sequence-specific DNA binding - regulation of transcription from RNA polymerase II promoter - negative regulation of transcription from</t>
  </si>
  <si>
    <t>salivary secreted protein</t>
  </si>
  <si>
    <t>golgi microtubule-associated protein isoform B</t>
  </si>
  <si>
    <t>Fatty acid desaturase</t>
  </si>
  <si>
    <t>Predicted membrane protein</t>
  </si>
  <si>
    <t>cytochrome b5</t>
  </si>
  <si>
    <t>Serotonin receptor 2 - G-protein coupled receptor signaling pathway - G-protein coupled amine receptor - Gq/11-coupled serotonin receptor -</t>
  </si>
  <si>
    <t>serotonin receptor 2</t>
  </si>
  <si>
    <t>C-4 sterol methyl oxidase</t>
  </si>
  <si>
    <t>Vesicle coat complex COPII subunit SEC23</t>
  </si>
  <si>
    <t>comm3 - autophagic cell death - salivary gland cell autophagic cell death</t>
  </si>
  <si>
    <t>GK24764</t>
  </si>
  <si>
    <t>mediator complex subunit 26 - mediator complex - transcription initiation from RNA polymerase II promoter</t>
  </si>
  <si>
    <t>Glucose dehydrogenase/choline dehydrogenase/mandelonitrile lyase (GMC oxidoreductase family)</t>
  </si>
  <si>
    <t>thrombin inhibitor TTI=antithrombotic peptide {N-terminal}</t>
  </si>
  <si>
    <t>Uncharacterized protein - death domain binding - negative regulation of transcription DNA-dependent - cellular response to amino acid starvation -</t>
  </si>
  <si>
    <t>Sulfate/bicarbonate/oxalate exchanger SAT-1</t>
  </si>
  <si>
    <t>Lysosomal trafficking regulator LYST</t>
  </si>
  <si>
    <t>Knottins</t>
  </si>
  <si>
    <t>anti-apoptotic BCl-2 family protein</t>
  </si>
  <si>
    <t>salivary serine protease</t>
  </si>
  <si>
    <t>Acetylcholinesterase/Butyrylcholinesterase</t>
  </si>
  <si>
    <t>transposase</t>
  </si>
  <si>
    <t>COPII vesicle protein</t>
  </si>
  <si>
    <t>Ion channel regulatory protein UNC-93</t>
  </si>
  <si>
    <t>Gamma-tubulin ring complex protein</t>
  </si>
  <si>
    <t>dolichyl-phosphate beta-glucosyltransferase</t>
  </si>
  <si>
    <t>Predicted UDP-galactose transporter</t>
  </si>
  <si>
    <t>Sorbitol dehydrogenase</t>
  </si>
  <si>
    <t>Lipid phosphate phosphatase</t>
  </si>
  <si>
    <t>Lactate dehydrogenase</t>
  </si>
  <si>
    <t>salivary secreted peptide</t>
  </si>
  <si>
    <t>GJ15461</t>
  </si>
  <si>
    <t>Permease of the major facilitator superfamily</t>
  </si>
  <si>
    <t>Myosin class II heavy chain</t>
  </si>
  <si>
    <t>Arthropod defensin</t>
  </si>
  <si>
    <t>Aquaporin (major intrinsic protein family)</t>
  </si>
  <si>
    <t>DNA/RNA non-specific endonuclease</t>
  </si>
  <si>
    <t>signal peptide protease</t>
  </si>
  <si>
    <t>glutathione S-transferase</t>
  </si>
  <si>
    <t>membrane protein</t>
  </si>
  <si>
    <t>abhydrolase domain containing 12 - acylglycerol lipase - hydrolase - integral to membrane - membrane</t>
  </si>
  <si>
    <t>Na + /H + hydrogen antiporter 2</t>
  </si>
  <si>
    <t>Tektin A - microtubule cytoskeleton organization - microtubule - microtubule-based process - microtubule binding - microtubule associated complex</t>
  </si>
  <si>
    <t>5' nucleotidase</t>
  </si>
  <si>
    <t>reverse transcriptase</t>
  </si>
  <si>
    <t>Predicted E3 ubiquitin ligase</t>
  </si>
  <si>
    <t>Protein-tyrosine sulfotransferase</t>
  </si>
  <si>
    <t>HMG-box transcription factor</t>
  </si>
  <si>
    <t>Eukaryotic cytochrome b561</t>
  </si>
  <si>
    <t>hypothetical secreted peptide precursor</t>
  </si>
  <si>
    <t>Proctolin receptor - G-protein coupled peptide receptor - proctolin receptor - neuropeptide receptor - integral to membrane - G-protein coupled</t>
  </si>
  <si>
    <t>Phosphoenolpyruvate carboxykinase</t>
  </si>
  <si>
    <t>dipeptidyl aminopeptidase</t>
  </si>
  <si>
    <t>angiopoietin-like salivary protein</t>
  </si>
  <si>
    <t>inward rectifier K+ channel</t>
  </si>
  <si>
    <t>NADP-dependent flavoprotein reductase</t>
  </si>
  <si>
    <t>salivary nitric oxide synthase</t>
  </si>
  <si>
    <t>Uncharacterized conserved protein</t>
  </si>
  <si>
    <t>cytoskeleton - cytoskeletal protein binding - actin binding</t>
  </si>
  <si>
    <t>dopamine N-acetyltransferase</t>
  </si>
  <si>
    <t>thioredoxin peroxidase 2</t>
  </si>
  <si>
    <t>eyegone - eye-antennal disc development - compound eye development - antennal development - notum development - sequence-specific DNA binding -</t>
  </si>
  <si>
    <t>Insect antimicrobial peptide</t>
  </si>
  <si>
    <t>histone-like transcription factor - nucleus - DNA binding - sequence-specific DNA binding - intracellular - biological_process -</t>
  </si>
  <si>
    <t>Possible membrane-associated motif in LPS-induced tumor necrosis factor alpha factor</t>
  </si>
  <si>
    <t>GH19178</t>
  </si>
  <si>
    <t>Calcium-transporting ATPase type 2C member 1</t>
  </si>
  <si>
    <t>CREB/ATF family transcription factor</t>
  </si>
  <si>
    <t>Tsal2 form B</t>
  </si>
  <si>
    <t>Amino acid transporters</t>
  </si>
  <si>
    <t>phospholipase D1 - phospholipid metabolic process - plasma membrane - phospholipase D</t>
  </si>
  <si>
    <t>BTB/POZ domain-containing proteincoagulation factor 5/8 type C-terminal domain-containing protein - cell adhesion - sorocarp development</t>
  </si>
  <si>
    <t>Glutaredoxin-related protein</t>
  </si>
  <si>
    <t>Adenine deaminase/adenosine deaminase</t>
  </si>
  <si>
    <t>U3 small nucleolar ribonucleoprotein (snoRNP) subunit - Mpp10p</t>
  </si>
  <si>
    <t>chromobox homolog 1 (HP1 beta homolog Drosophila ) - negative regulation of transcription DNA-dependent - identical protein binding - enzyme binding</t>
  </si>
  <si>
    <t>Threonine aldolase</t>
  </si>
  <si>
    <t>CG31678 isoform B</t>
  </si>
  <si>
    <t>GJ19392</t>
  </si>
  <si>
    <t>Ras guanine nucleotide exchange factor - positive regulation of endocytosis - aggregation involved in sorocarp development - cortical actin</t>
  </si>
  <si>
    <t>Peptidase M14 carboxypeptidase subfamily A/B-like</t>
  </si>
  <si>
    <t>GJ17429</t>
  </si>
  <si>
    <t>Predicted 2-oxoglutarate dehydrogenase E1 subunit</t>
  </si>
  <si>
    <t>alkaline phosphatase tissue-nonspecific isozyme-like</t>
  </si>
  <si>
    <t>Transcription regulator XNP/ATRX DEAD-box superfamily</t>
  </si>
  <si>
    <t>Tsal2 form A</t>
  </si>
  <si>
    <t>antigen 5 precursor</t>
  </si>
  <si>
    <t>hypothetical secreted protein</t>
  </si>
  <si>
    <t>salivary C-type lectin</t>
  </si>
  <si>
    <t>HIV-1 Vpr-binding protein</t>
  </si>
  <si>
    <t>salivary secreted adenosine</t>
  </si>
  <si>
    <t>salivary 5'nucleotidase/apyrase</t>
  </si>
  <si>
    <t>adenosine deaminase-related growth factor</t>
  </si>
  <si>
    <t>unnamed protein product Klebsiella pneumoniae subsp. pneumoniae MGH 78578</t>
  </si>
  <si>
    <t>hypothetical conserved secreted protein</t>
  </si>
  <si>
    <t>ab-tri_asb-19788</t>
  </si>
  <si>
    <t xml:space="preserve">Fold change </t>
  </si>
  <si>
    <t>Kal's Z-test: Bonferroni</t>
  </si>
  <si>
    <t>Best Functional description</t>
  </si>
  <si>
    <t>SG-infected RPKM</t>
  </si>
  <si>
    <t>SG-control RPKM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</si>
</sst>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  <family val="2"/>
      <scheme val="minor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0" fillId="3" borderId="3" xfId="0" applyFill="1" applyBorder="1"/>
    <xf numFmtId="0" fontId="0" fillId="4" borderId="3" xfId="0" applyFill="1" applyBorder="1"/>
    <xf numFmtId="0" fontId="0" fillId="0" borderId="1" xfId="0" applyFill="1" applyBorder="1"/>
    <xf numFmtId="0" fontId="0" fillId="0" borderId="0" xfId="0" applyFill="1"/>
    <xf numFmtId="0" fontId="0" fillId="0" borderId="1" xfId="0" applyBorder="1"/>
    <xf numFmtId="0" fontId="0" fillId="2" borderId="1" xfId="0" applyFill="1" applyBorder="1" applyAlignment="1">
      <alignment wrapText="1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4"/>
  <sheetViews>
    <sheetView tabSelected="1" zoomScaleNormal="100" workbookViewId="0"/>
  </sheetViews>
  <sheetFormatPr defaultRowHeight="15" x14ac:dyDescent="0.25"/>
  <cols>
    <col min="1" max="1" width="15.7109375" bestFit="1" customWidth="1"/>
    <col min="2" max="2" width="13.85546875" style="5" bestFit="1" customWidth="1"/>
    <col min="3" max="3" width="13.7109375" customWidth="1"/>
    <col min="4" max="4" width="20" customWidth="1"/>
    <col min="5" max="5" width="19.28515625" customWidth="1"/>
    <col min="6" max="6" width="29.28515625" customWidth="1"/>
    <col min="7" max="7" width="13.7109375" bestFit="1" customWidth="1"/>
    <col min="8" max="8" width="34.140625" customWidth="1"/>
    <col min="9" max="9" width="13.7109375" bestFit="1" customWidth="1"/>
    <col min="10" max="10" width="12.5703125" bestFit="1" customWidth="1"/>
  </cols>
  <sheetData>
    <row r="1" spans="1:10" s="8" customFormat="1" ht="78.75" customHeight="1" x14ac:dyDescent="0.25">
      <c r="A1" s="7" t="s">
        <v>0</v>
      </c>
      <c r="B1" s="7" t="s">
        <v>404</v>
      </c>
      <c r="C1" s="7" t="s">
        <v>405</v>
      </c>
      <c r="D1" s="7" t="s">
        <v>407</v>
      </c>
      <c r="E1" s="7" t="s">
        <v>408</v>
      </c>
      <c r="F1" s="1" t="s">
        <v>406</v>
      </c>
      <c r="G1" s="1" t="s">
        <v>263</v>
      </c>
      <c r="H1" s="1" t="s">
        <v>264</v>
      </c>
      <c r="I1" s="1" t="s">
        <v>263</v>
      </c>
      <c r="J1" s="1" t="s">
        <v>265</v>
      </c>
    </row>
    <row r="2" spans="1:10" s="5" customFormat="1" x14ac:dyDescent="0.25">
      <c r="A2" s="4" t="s">
        <v>26</v>
      </c>
      <c r="B2" s="4">
        <v>21.776666666666664</v>
      </c>
      <c r="C2" s="4">
        <v>1.3632883710812393E-9</v>
      </c>
      <c r="D2" s="4">
        <v>30.176304144329855</v>
      </c>
      <c r="E2" s="4">
        <v>650.36013942810212</v>
      </c>
      <c r="F2" s="2" t="s">
        <v>266</v>
      </c>
      <c r="G2">
        <v>98.2</v>
      </c>
      <c r="H2" s="3" t="str">
        <f>HYPERLINK(".\links\NR-LIGHT\ab-tri_asb-12805-NR-LIGHT.txt","pale, isoform B")</f>
        <v>pale, isoform B</v>
      </c>
      <c r="I2">
        <v>100</v>
      </c>
      <c r="J2" t="str">
        <f>HYPERLINK("http://www.ncbi.nlm.nih.gov/protein/17136776","gi|17136776")</f>
        <v>gi|17136776</v>
      </c>
    </row>
    <row r="3" spans="1:10" s="5" customFormat="1" x14ac:dyDescent="0.25">
      <c r="A3" s="4" t="s">
        <v>100</v>
      </c>
      <c r="B3" s="4">
        <v>10.412213740458016</v>
      </c>
      <c r="C3" s="4">
        <v>0</v>
      </c>
      <c r="D3" s="4">
        <v>13.20655283043107</v>
      </c>
      <c r="E3" s="4">
        <v>135.79331528215968</v>
      </c>
      <c r="F3" s="2" t="s">
        <v>267</v>
      </c>
      <c r="G3"/>
      <c r="H3" s="3" t="str">
        <f>HYPERLINK(".\links\NR-LIGHT\ab-tri_asb-24551-NR-LIGHT.txt","hypothetical protein SSAG_05897")</f>
        <v>hypothetical protein SSAG_05897</v>
      </c>
      <c r="I3">
        <v>90</v>
      </c>
      <c r="J3" t="str">
        <f>HYPERLINK("http://www.ncbi.nlm.nih.gov/protein/254386265","gi|254386265")</f>
        <v>gi|254386265</v>
      </c>
    </row>
    <row r="4" spans="1:10" s="5" customFormat="1" x14ac:dyDescent="0.25">
      <c r="A4" s="4" t="s">
        <v>53</v>
      </c>
      <c r="B4" s="4">
        <v>5.7474668745128596</v>
      </c>
      <c r="C4" s="4">
        <v>1.3346879157438707E-10</v>
      </c>
      <c r="D4" s="4">
        <v>128.88120611154679</v>
      </c>
      <c r="E4" s="4">
        <v>734.10574194984326</v>
      </c>
      <c r="F4" s="2" t="s">
        <v>268</v>
      </c>
      <c r="G4">
        <v>100</v>
      </c>
      <c r="H4" s="3" t="str">
        <f>HYPERLINK(".\links\NR-LIGHT\ab-tri_asb-17047-NR-LIGHT.txt","tetraspanin family integral membrane protein")</f>
        <v>tetraspanin family integral membrane protein</v>
      </c>
      <c r="I4">
        <v>100</v>
      </c>
      <c r="J4" t="str">
        <f>HYPERLINK("http://www.ncbi.nlm.nih.gov/protein/289739859","gi|289739859")</f>
        <v>gi|289739859</v>
      </c>
    </row>
    <row r="5" spans="1:10" s="5" customFormat="1" x14ac:dyDescent="0.25">
      <c r="A5" s="4" t="s">
        <v>111</v>
      </c>
      <c r="B5" s="4">
        <v>5.112244897959183</v>
      </c>
      <c r="C5" s="4">
        <v>6.7362318784125463E-4</v>
      </c>
      <c r="D5" s="4">
        <v>9.833686891331201</v>
      </c>
      <c r="E5" s="4">
        <v>49.879537263969453</v>
      </c>
      <c r="F5" s="2" t="s">
        <v>269</v>
      </c>
      <c r="G5">
        <v>94.4</v>
      </c>
      <c r="H5" s="3" t="str">
        <f>HYPERLINK(".\links\NR-LIGHT\ab-tri_asb-25880-NR-LIGHT.txt","thioredoxin binding protein tBP-2/VDUP1")</f>
        <v>thioredoxin binding protein tBP-2/VDUP1</v>
      </c>
      <c r="I5">
        <v>100</v>
      </c>
      <c r="J5" t="str">
        <f>HYPERLINK("http://www.ncbi.nlm.nih.gov/protein/289741749","gi|289741749")</f>
        <v>gi|289741749</v>
      </c>
    </row>
    <row r="6" spans="1:10" s="5" customFormat="1" x14ac:dyDescent="0.25">
      <c r="A6" s="4" t="s">
        <v>62</v>
      </c>
      <c r="B6" s="4">
        <v>5.0576923076923075</v>
      </c>
      <c r="C6" s="4">
        <v>1</v>
      </c>
      <c r="D6" s="4">
        <v>5.2640155305184928</v>
      </c>
      <c r="E6" s="4">
        <v>26.187842795043128</v>
      </c>
      <c r="F6" s="2" t="s">
        <v>267</v>
      </c>
      <c r="G6"/>
      <c r="H6" s="3" t="str">
        <f>HYPERLINK(".\links\NR-LIGHT\ab-tri_asb-18870-NR-LIGHT.txt","T. brucei spp.-specific protein")</f>
        <v>T. brucei spp.-specific protein</v>
      </c>
      <c r="I6">
        <v>79</v>
      </c>
      <c r="J6" t="str">
        <f>HYPERLINK("http://www.ncbi.nlm.nih.gov/protein/261331295","gi|261331295")</f>
        <v>gi|261331295</v>
      </c>
    </row>
    <row r="7" spans="1:10" s="5" customFormat="1" x14ac:dyDescent="0.25">
      <c r="A7" s="4" t="s">
        <v>252</v>
      </c>
      <c r="B7" s="4">
        <v>4.384615384615385</v>
      </c>
      <c r="C7" s="4">
        <v>7.1214429351299513E-2</v>
      </c>
      <c r="D7" s="4">
        <v>9.1906014705559418</v>
      </c>
      <c r="E7" s="4">
        <v>39.716185170194542</v>
      </c>
      <c r="F7" s="2" t="s">
        <v>270</v>
      </c>
      <c r="G7">
        <v>107.7</v>
      </c>
      <c r="H7" s="3" t="str">
        <f>HYPERLINK(".\links\NR-LIGHT\ab-tri_asb-8590-NR-LIGHT.txt","calponin")</f>
        <v>calponin</v>
      </c>
      <c r="I7">
        <v>100</v>
      </c>
      <c r="J7" t="str">
        <f>HYPERLINK("http://www.ncbi.nlm.nih.gov/protein/289743711","gi|289743711")</f>
        <v>gi|289743711</v>
      </c>
    </row>
    <row r="8" spans="1:10" s="5" customFormat="1" x14ac:dyDescent="0.25">
      <c r="A8" s="4" t="s">
        <v>39</v>
      </c>
      <c r="B8" s="4">
        <v>4.342421812349639</v>
      </c>
      <c r="C8" s="4">
        <v>1.3346879157438707E-10</v>
      </c>
      <c r="D8" s="4">
        <v>125.2717271379901</v>
      </c>
      <c r="E8" s="4">
        <v>539.10453476048576</v>
      </c>
      <c r="F8" s="2" t="s">
        <v>271</v>
      </c>
      <c r="G8">
        <v>88.2</v>
      </c>
      <c r="H8" s="3" t="str">
        <f>HYPERLINK(".\links\NR-LIGHT\ab-tri_asb-15058-NR-LIGHT.txt","putative gamma-glutamyl hydrolase")</f>
        <v>putative gamma-glutamyl hydrolase</v>
      </c>
      <c r="I8">
        <v>100</v>
      </c>
      <c r="J8" t="str">
        <f>HYPERLINK("http://www.ncbi.nlm.nih.gov/protein/289743457","gi|289743457")</f>
        <v>gi|289743457</v>
      </c>
    </row>
    <row r="9" spans="1:10" s="5" customFormat="1" x14ac:dyDescent="0.25">
      <c r="A9" s="4" t="s">
        <v>239</v>
      </c>
      <c r="B9" s="4">
        <v>4.3313782991202343</v>
      </c>
      <c r="C9" s="4">
        <v>7.6267880899649754E-11</v>
      </c>
      <c r="D9" s="4">
        <v>34.255463709159265</v>
      </c>
      <c r="E9" s="4">
        <v>146.98622544737233</v>
      </c>
      <c r="F9" s="2" t="s">
        <v>275</v>
      </c>
      <c r="G9">
        <v>85.5</v>
      </c>
      <c r="H9" s="3" t="str">
        <f>HYPERLINK(".\links\NR-LIGHT\ab-tri_asb-6808-NR-LIGHT.txt","synaptobrevin, isoform A")</f>
        <v>synaptobrevin, isoform A</v>
      </c>
      <c r="I9">
        <v>88</v>
      </c>
      <c r="J9" t="str">
        <f>HYPERLINK("http://www.ncbi.nlm.nih.gov/protein/17647971","gi|17647971")</f>
        <v>gi|17647971</v>
      </c>
    </row>
    <row r="10" spans="1:10" s="5" customFormat="1" x14ac:dyDescent="0.25">
      <c r="A10" s="4" t="s">
        <v>198</v>
      </c>
      <c r="B10" s="4">
        <v>4.1836734693877551</v>
      </c>
      <c r="C10" s="4">
        <v>1.9066970224912438E-11</v>
      </c>
      <c r="D10" s="4">
        <v>64.016027711765886</v>
      </c>
      <c r="E10" s="4">
        <v>265.27913178038597</v>
      </c>
      <c r="F10" s="2" t="s">
        <v>273</v>
      </c>
      <c r="G10">
        <v>99</v>
      </c>
      <c r="H10" s="3" t="str">
        <f>HYPERLINK(".\links\NR-LIGHT\ab-tri_asb-55675-NR-LIGHT.txt","UDP-glucuronosyl and UDP-glucosyl transferase")</f>
        <v>UDP-glucuronosyl and UDP-glucosyl transferase</v>
      </c>
      <c r="I10">
        <v>100</v>
      </c>
      <c r="J10" t="str">
        <f>HYPERLINK("http://www.ncbi.nlm.nih.gov/protein/289743737","gi|289743737")</f>
        <v>gi|289743737</v>
      </c>
    </row>
    <row r="11" spans="1:10" s="5" customFormat="1" x14ac:dyDescent="0.25">
      <c r="A11" s="4" t="s">
        <v>112</v>
      </c>
      <c r="B11" s="4">
        <v>4.1835937499999991</v>
      </c>
      <c r="C11" s="4">
        <v>4.957412258477234E-10</v>
      </c>
      <c r="D11" s="4">
        <v>25.694765428972094</v>
      </c>
      <c r="E11" s="4">
        <v>106.65420127799948</v>
      </c>
      <c r="F11" s="2" t="s">
        <v>267</v>
      </c>
      <c r="G11"/>
      <c r="H11" s="3" t="str">
        <f>HYPERLINK(".\links\NR-LIGHT\ab-tri_asb-26293-NR-LIGHT.txt","SJCHGC01974 protein")</f>
        <v>SJCHGC01974 protein</v>
      </c>
      <c r="I11">
        <v>48</v>
      </c>
      <c r="J11" t="str">
        <f>HYPERLINK("http://www.ncbi.nlm.nih.gov/protein/56757374","gi|56757374")</f>
        <v>gi|56757374</v>
      </c>
    </row>
    <row r="12" spans="1:10" s="5" customFormat="1" x14ac:dyDescent="0.25">
      <c r="A12" s="4" t="s">
        <v>250</v>
      </c>
      <c r="B12" s="4">
        <v>4.171875</v>
      </c>
      <c r="C12" s="4">
        <v>1.0176804687844765E-6</v>
      </c>
      <c r="D12" s="4">
        <v>19.270191443040389</v>
      </c>
      <c r="E12" s="4">
        <v>79.710411627314031</v>
      </c>
      <c r="F12" s="2" t="s">
        <v>272</v>
      </c>
      <c r="G12">
        <v>3.7</v>
      </c>
      <c r="H12" s="3" t="str">
        <f>HYPERLINK(".\links\NR-LIGHT\ab-tri_asb-8077-NR-LIGHT.txt","hypothetical protein BRAFLDRAFT_67980")</f>
        <v>hypothetical protein BRAFLDRAFT_67980</v>
      </c>
      <c r="I12">
        <v>5</v>
      </c>
      <c r="J12" t="str">
        <f>HYPERLINK("http://www.ncbi.nlm.nih.gov/protein/260824533","gi|260824533")</f>
        <v>gi|260824533</v>
      </c>
    </row>
    <row r="13" spans="1:10" s="5" customFormat="1" x14ac:dyDescent="0.25">
      <c r="A13" s="4" t="s">
        <v>82</v>
      </c>
      <c r="B13" s="4">
        <v>4.1226415094339623</v>
      </c>
      <c r="C13" s="4">
        <v>1.6409034575559645E-7</v>
      </c>
      <c r="D13" s="4">
        <v>21.321746034773881</v>
      </c>
      <c r="E13" s="4">
        <v>86.987698194198344</v>
      </c>
      <c r="F13" s="2" t="s">
        <v>274</v>
      </c>
      <c r="G13">
        <v>36.4</v>
      </c>
      <c r="H13" s="3" t="str">
        <f>HYPERLINK(".\links\NR-LIGHT\ab-tri_asb-2153-NR-LIGHT.txt","Glutamine:fructose-6-phosphate aminotransferase 1, isoform D")</f>
        <v>Glutamine:fructose-6-phosphate aminotransferase 1, isoform D</v>
      </c>
      <c r="I13">
        <v>36</v>
      </c>
      <c r="J13" t="str">
        <f>HYPERLINK("http://www.ncbi.nlm.nih.gov/protein/62862022","gi|62862022")</f>
        <v>gi|62862022</v>
      </c>
    </row>
    <row r="14" spans="1:10" s="5" customFormat="1" x14ac:dyDescent="0.25">
      <c r="A14" s="4" t="s">
        <v>180</v>
      </c>
      <c r="B14" s="4">
        <v>3.934579439252337</v>
      </c>
      <c r="C14" s="4">
        <v>9.0422824432918603E-2</v>
      </c>
      <c r="D14" s="4">
        <v>10.712307345584453</v>
      </c>
      <c r="E14" s="4">
        <v>41.916402935299622</v>
      </c>
      <c r="F14" s="2" t="s">
        <v>276</v>
      </c>
      <c r="G14">
        <v>97</v>
      </c>
      <c r="H14" s="3" t="str">
        <f>HYPERLINK(".\links\NR-LIGHT\ab-tri_asb-50905-NR-LIGHT.txt","CG13827")</f>
        <v>CG13827</v>
      </c>
      <c r="I14">
        <v>99</v>
      </c>
      <c r="J14" t="str">
        <f>HYPERLINK("http://www.ncbi.nlm.nih.gov/protein/28571837","gi|28571837")</f>
        <v>gi|28571837</v>
      </c>
    </row>
    <row r="15" spans="1:10" s="5" customFormat="1" x14ac:dyDescent="0.25">
      <c r="A15" s="4" t="s">
        <v>208</v>
      </c>
      <c r="B15" s="4">
        <v>3.9116809116809117</v>
      </c>
      <c r="C15" s="4">
        <v>0</v>
      </c>
      <c r="D15" s="4">
        <v>35.292680700534866</v>
      </c>
      <c r="E15" s="4">
        <v>136.72047344826848</v>
      </c>
      <c r="F15" s="2" t="s">
        <v>274</v>
      </c>
      <c r="G15">
        <v>67.099999999999994</v>
      </c>
      <c r="H15" s="3" t="str">
        <f>HYPERLINK(".\links\NR-LIGHT\ab-tri_asb-56282-NR-LIGHT.txt","Glutamine:fructose-6-phosphate aminotransferase 1, isoform H")</f>
        <v>Glutamine:fructose-6-phosphate aminotransferase 1, isoform H</v>
      </c>
      <c r="I15">
        <v>69</v>
      </c>
      <c r="J15" t="str">
        <f>HYPERLINK("http://www.ncbi.nlm.nih.gov/protein/161076243","gi|161076243")</f>
        <v>gi|161076243</v>
      </c>
    </row>
    <row r="16" spans="1:10" s="5" customFormat="1" x14ac:dyDescent="0.25">
      <c r="A16" s="4" t="s">
        <v>117</v>
      </c>
      <c r="B16" s="4">
        <v>3.6284584980237153</v>
      </c>
      <c r="C16" s="4">
        <v>1.3346879157438707E-10</v>
      </c>
      <c r="D16" s="4">
        <v>50.784933413266167</v>
      </c>
      <c r="E16" s="4">
        <v>182.7452549876233</v>
      </c>
      <c r="F16" s="2" t="s">
        <v>278</v>
      </c>
      <c r="G16">
        <v>88.9</v>
      </c>
      <c r="H16" s="3" t="str">
        <f>HYPERLINK(".\links\NR-LIGHT\ab-tri_asb-26764-NR-LIGHT.txt","cyclophilin type peptidyl-prolyl cis-trans isomerase")</f>
        <v>cyclophilin type peptidyl-prolyl cis-trans isomerase</v>
      </c>
      <c r="I16">
        <v>100</v>
      </c>
      <c r="J16" t="str">
        <f>HYPERLINK("http://www.ncbi.nlm.nih.gov/protein/289740535","gi|289740535")</f>
        <v>gi|289740535</v>
      </c>
    </row>
    <row r="17" spans="1:10" s="5" customFormat="1" x14ac:dyDescent="0.25">
      <c r="A17" s="4" t="s">
        <v>247</v>
      </c>
      <c r="B17" s="4">
        <v>3.5694915254237287</v>
      </c>
      <c r="C17" s="4">
        <v>1.2584200348442209E-9</v>
      </c>
      <c r="D17" s="4">
        <v>355.5964087652157</v>
      </c>
      <c r="E17" s="4">
        <v>1257.8852591130976</v>
      </c>
      <c r="F17" s="2" t="s">
        <v>279</v>
      </c>
      <c r="G17">
        <v>89.9</v>
      </c>
      <c r="H17" s="3" t="str">
        <f>HYPERLINK(".\links\NR-LIGHT\ab-tri_asb-7638-NR-LIGHT.txt","CG10650")</f>
        <v>CG10650</v>
      </c>
      <c r="I17">
        <v>93</v>
      </c>
      <c r="J17" t="str">
        <f>HYPERLINK("http://www.ncbi.nlm.nih.gov/protein/23397621","gi|23397621")</f>
        <v>gi|23397621</v>
      </c>
    </row>
    <row r="18" spans="1:10" s="5" customFormat="1" x14ac:dyDescent="0.25">
      <c r="A18" s="4" t="s">
        <v>215</v>
      </c>
      <c r="B18" s="4">
        <v>3.5032258064516126</v>
      </c>
      <c r="C18" s="4">
        <v>1.287627260281754E-2</v>
      </c>
      <c r="D18" s="4">
        <v>15.522633502421687</v>
      </c>
      <c r="E18" s="4">
        <v>54.019426642873704</v>
      </c>
      <c r="F18" s="2" t="s">
        <v>277</v>
      </c>
      <c r="G18">
        <v>109.4</v>
      </c>
      <c r="H18" s="3" t="str">
        <f>HYPERLINK(".\links\NR-LIGHT\ab-tri_asb-56473-NR-LIGHT.txt","phosphoribosylpyrophosphate synthetase-associated protein")</f>
        <v>phosphoribosylpyrophosphate synthetase-associated protein</v>
      </c>
      <c r="I18">
        <v>100</v>
      </c>
      <c r="J18" t="str">
        <f>HYPERLINK("http://www.ncbi.nlm.nih.gov/protein/289739617","gi|289739617")</f>
        <v>gi|289739617</v>
      </c>
    </row>
    <row r="19" spans="1:10" s="5" customFormat="1" x14ac:dyDescent="0.25">
      <c r="A19" s="4" t="s">
        <v>118</v>
      </c>
      <c r="B19" s="4">
        <v>3.4758746855705462</v>
      </c>
      <c r="C19" s="4">
        <v>6.95944413209304E-10</v>
      </c>
      <c r="D19" s="4">
        <v>439.28949572822722</v>
      </c>
      <c r="E19" s="4">
        <v>1513.1372288230866</v>
      </c>
      <c r="F19" s="2" t="s">
        <v>280</v>
      </c>
      <c r="G19">
        <v>100</v>
      </c>
      <c r="H19" s="3" t="str">
        <f>HYPERLINK(".\links\NR-LIGHT\ab-tri_asb-2682-NR-LIGHT.txt","hypothetical conserved protein")</f>
        <v>hypothetical conserved protein</v>
      </c>
      <c r="I19">
        <v>100</v>
      </c>
      <c r="J19" t="str">
        <f>HYPERLINK("http://www.ncbi.nlm.nih.gov/protein/289742387","gi|289742387")</f>
        <v>gi|289742387</v>
      </c>
    </row>
    <row r="20" spans="1:10" s="5" customFormat="1" x14ac:dyDescent="0.25">
      <c r="A20" s="4" t="s">
        <v>47</v>
      </c>
      <c r="B20" s="4">
        <v>3.3421052631578947</v>
      </c>
      <c r="C20" s="4">
        <v>1</v>
      </c>
      <c r="D20" s="4">
        <v>7.67999552547571</v>
      </c>
      <c r="E20" s="4">
        <v>25.322541089785766</v>
      </c>
      <c r="F20" s="2" t="s">
        <v>267</v>
      </c>
      <c r="G20"/>
      <c r="H20" s="3" t="str">
        <f>HYPERLINK(".\links\NR-LIGHT\ab-tri_asb-16340-NR-LIGHT.txt","predicted protein")</f>
        <v>predicted protein</v>
      </c>
      <c r="I20">
        <v>97</v>
      </c>
      <c r="J20" t="str">
        <f>HYPERLINK("http://www.ncbi.nlm.nih.gov/protein/297850648","gi|297850648")</f>
        <v>gi|297850648</v>
      </c>
    </row>
    <row r="21" spans="1:10" s="5" customFormat="1" x14ac:dyDescent="0.25">
      <c r="A21" s="4" t="s">
        <v>33</v>
      </c>
      <c r="B21" s="4">
        <v>3.2096069868995634</v>
      </c>
      <c r="C21" s="4">
        <v>4.7864721036683378E-4</v>
      </c>
      <c r="D21" s="4">
        <v>22.991954985964274</v>
      </c>
      <c r="E21" s="4">
        <v>73.163234338051112</v>
      </c>
      <c r="F21" s="2" t="s">
        <v>281</v>
      </c>
      <c r="G21">
        <v>68.3</v>
      </c>
      <c r="H21" s="3" t="str">
        <f>HYPERLINK(".\links\NR-LIGHT\ab-tri_asb-14498-NR-LIGHT.txt","unextended, isoform E")</f>
        <v>unextended, isoform E</v>
      </c>
      <c r="I21">
        <v>99</v>
      </c>
      <c r="J21" t="str">
        <f>HYPERLINK("http://www.ncbi.nlm.nih.gov/protein/281366731","gi|281366731")</f>
        <v>gi|281366731</v>
      </c>
    </row>
    <row r="22" spans="1:10" s="5" customFormat="1" x14ac:dyDescent="0.25">
      <c r="A22" s="4" t="s">
        <v>220</v>
      </c>
      <c r="B22" s="4">
        <v>3.0637327053282308</v>
      </c>
      <c r="C22" s="4">
        <v>1.2012191241694836E-9</v>
      </c>
      <c r="D22" s="4">
        <v>682.4218883795163</v>
      </c>
      <c r="E22" s="4">
        <v>2072.0580046084069</v>
      </c>
      <c r="F22" s="2" t="s">
        <v>284</v>
      </c>
      <c r="G22">
        <v>10</v>
      </c>
      <c r="H22" s="3" t="str">
        <f>HYPERLINK(".\links\NR-LIGHT\ab-tri_asb-56723-NR-LIGHT.txt","conserved Plasmodium membrane protein, unknown function")</f>
        <v>conserved Plasmodium membrane protein, unknown function</v>
      </c>
      <c r="I22">
        <v>9</v>
      </c>
      <c r="J22" t="str">
        <f>HYPERLINK("http://www.ncbi.nlm.nih.gov/protein/296005371","gi|296005371")</f>
        <v>gi|296005371</v>
      </c>
    </row>
    <row r="23" spans="1:10" s="5" customFormat="1" x14ac:dyDescent="0.25">
      <c r="A23" s="4" t="s">
        <v>43</v>
      </c>
      <c r="B23" s="4">
        <v>3.0605042016806721</v>
      </c>
      <c r="C23" s="4">
        <v>0</v>
      </c>
      <c r="D23" s="4">
        <v>59.785316819188587</v>
      </c>
      <c r="E23" s="4">
        <v>181.24390261603102</v>
      </c>
      <c r="F23" s="2" t="s">
        <v>282</v>
      </c>
      <c r="G23">
        <v>97.3</v>
      </c>
      <c r="H23" s="3" t="str">
        <f>HYPERLINK(".\links\NR-LIGHT\ab-tri_asb-1550-NR-LIGHT.txt","troponin C 47D")</f>
        <v>troponin C 47D</v>
      </c>
      <c r="I23">
        <v>100</v>
      </c>
      <c r="J23" t="str">
        <f>HYPERLINK("http://www.ncbi.nlm.nih.gov/protein/289742389","gi|289742389")</f>
        <v>gi|289742389</v>
      </c>
    </row>
    <row r="24" spans="1:10" s="5" customFormat="1" x14ac:dyDescent="0.25">
      <c r="A24" s="4" t="s">
        <v>166</v>
      </c>
      <c r="B24" s="4">
        <v>3.0283664819041407</v>
      </c>
      <c r="C24" s="4">
        <v>6.2921001742211047E-10</v>
      </c>
      <c r="D24" s="4">
        <v>616.1827037535453</v>
      </c>
      <c r="E24" s="4">
        <v>1849.1730095371838</v>
      </c>
      <c r="F24" s="2" t="s">
        <v>283</v>
      </c>
      <c r="G24">
        <v>100</v>
      </c>
      <c r="H24" s="3" t="str">
        <f>HYPERLINK(".\links\NR-LIGHT\ab-tri_asb-38697-NR-LIGHT.txt","CG6579")</f>
        <v>CG6579</v>
      </c>
      <c r="I24">
        <v>93</v>
      </c>
      <c r="J24" t="str">
        <f>HYPERLINK("http://www.ncbi.nlm.nih.gov/protein/221474780","gi|221474780")</f>
        <v>gi|221474780</v>
      </c>
    </row>
    <row r="25" spans="1:10" s="5" customFormat="1" x14ac:dyDescent="0.25">
      <c r="A25" s="4" t="s">
        <v>51</v>
      </c>
      <c r="B25" s="4">
        <v>2.9539473684210527</v>
      </c>
      <c r="C25" s="4">
        <v>0.81666176523656153</v>
      </c>
      <c r="D25" s="4">
        <v>15.251600142679354</v>
      </c>
      <c r="E25" s="4">
        <v>44.727534759281042</v>
      </c>
      <c r="F25" s="2" t="s">
        <v>285</v>
      </c>
      <c r="G25">
        <v>42.6</v>
      </c>
      <c r="H25" s="3" t="str">
        <f>HYPERLINK(".\links\NR-LIGHT\ab-tri_asb-16814-NR-LIGHT.txt","CG8008, isoform B")</f>
        <v>CG8008, isoform B</v>
      </c>
      <c r="I25">
        <v>39</v>
      </c>
      <c r="J25" t="str">
        <f>HYPERLINK("http://www.ncbi.nlm.nih.gov/protein/221330082","gi|221330082")</f>
        <v>gi|221330082</v>
      </c>
    </row>
    <row r="26" spans="1:10" s="5" customFormat="1" x14ac:dyDescent="0.25">
      <c r="A26" s="4" t="s">
        <v>121</v>
      </c>
      <c r="B26" s="4">
        <v>2.9132947976878611</v>
      </c>
      <c r="C26" s="4">
        <v>0.30650597288654047</v>
      </c>
      <c r="D26" s="4">
        <v>17.354340686268575</v>
      </c>
      <c r="E26" s="4">
        <v>50.141997151227855</v>
      </c>
      <c r="F26" s="2" t="s">
        <v>267</v>
      </c>
      <c r="G26"/>
      <c r="H26" s="3" t="str">
        <f>HYPERLINK(".\links\NR-LIGHT\ab-tri_asb-27505-NR-LIGHT.txt","CG13737, isoform A")</f>
        <v>CG13737, isoform A</v>
      </c>
      <c r="I26">
        <v>83</v>
      </c>
      <c r="J26" t="str">
        <f>HYPERLINK("http://www.ncbi.nlm.nih.gov/protein/24663930","gi|24663930")</f>
        <v>gi|24663930</v>
      </c>
    </row>
    <row r="27" spans="1:10" s="5" customFormat="1" x14ac:dyDescent="0.25">
      <c r="A27" s="4" t="s">
        <v>244</v>
      </c>
      <c r="B27" s="4">
        <v>2.858480749219563</v>
      </c>
      <c r="C27" s="4">
        <v>1.3346879157438707E-10</v>
      </c>
      <c r="D27" s="4">
        <v>96.577607277855165</v>
      </c>
      <c r="E27" s="4">
        <v>273.45286237296096</v>
      </c>
      <c r="F27" s="2" t="s">
        <v>286</v>
      </c>
      <c r="G27">
        <v>111</v>
      </c>
      <c r="H27" s="3" t="str">
        <f>HYPERLINK(".\links\NR-LIGHT\ab-tri_asb-7217-NR-LIGHT.txt","sans ortholog, isoform A")</f>
        <v>sans ortholog, isoform A</v>
      </c>
      <c r="I27">
        <v>100</v>
      </c>
      <c r="J27" t="str">
        <f>HYPERLINK("http://www.ncbi.nlm.nih.gov/protein/20129939","gi|20129939")</f>
        <v>gi|20129939</v>
      </c>
    </row>
    <row r="28" spans="1:10" s="5" customFormat="1" x14ac:dyDescent="0.25">
      <c r="A28" s="4" t="s">
        <v>233</v>
      </c>
      <c r="B28" s="4">
        <v>2.847826086956522</v>
      </c>
      <c r="C28" s="4">
        <v>1</v>
      </c>
      <c r="D28" s="4">
        <v>4.6089265343447696</v>
      </c>
      <c r="E28" s="4">
        <v>12.99597964900209</v>
      </c>
      <c r="F28" s="2" t="s">
        <v>293</v>
      </c>
      <c r="G28">
        <v>108.8</v>
      </c>
      <c r="H28" s="3" t="str">
        <f>HYPERLINK(".\links\NR-LIGHT\ab-tri_asb-5978-NR-LIGHT.txt","GTPase-activating protein 69C")</f>
        <v>GTPase-activating protein 69C</v>
      </c>
      <c r="I28">
        <v>99</v>
      </c>
      <c r="J28" t="str">
        <f>HYPERLINK("http://www.ncbi.nlm.nih.gov/protein/24663283","gi|24663283")</f>
        <v>gi|24663283</v>
      </c>
    </row>
    <row r="29" spans="1:10" s="5" customFormat="1" x14ac:dyDescent="0.25">
      <c r="A29" s="4" t="s">
        <v>7</v>
      </c>
      <c r="B29" s="4">
        <v>2.8177339901477834</v>
      </c>
      <c r="C29" s="4">
        <v>0.11345374687659504</v>
      </c>
      <c r="D29" s="4">
        <v>20.35347942321188</v>
      </c>
      <c r="E29" s="4">
        <v>56.961362269994282</v>
      </c>
      <c r="F29" s="2" t="s">
        <v>297</v>
      </c>
      <c r="G29">
        <v>12.3</v>
      </c>
      <c r="H29" s="3" t="str">
        <f>HYPERLINK(".\links\NR-LIGHT\ab-tri_asb-10848-NR-LIGHT.txt","eukaryotic initiation factor 5C")</f>
        <v>eukaryotic initiation factor 5C</v>
      </c>
      <c r="I29">
        <v>12</v>
      </c>
      <c r="J29" t="str">
        <f>HYPERLINK("http://www.ncbi.nlm.nih.gov/protein/289739629","gi|289739629")</f>
        <v>gi|289739629</v>
      </c>
    </row>
    <row r="30" spans="1:10" s="5" customFormat="1" x14ac:dyDescent="0.25">
      <c r="A30" s="4" t="s">
        <v>11</v>
      </c>
      <c r="B30" s="4">
        <v>2.7746478873239435</v>
      </c>
      <c r="C30" s="4">
        <v>1</v>
      </c>
      <c r="D30" s="4">
        <v>7.1689904807985991</v>
      </c>
      <c r="E30" s="4">
        <v>19.605022374145157</v>
      </c>
      <c r="F30" s="2" t="s">
        <v>267</v>
      </c>
      <c r="G30"/>
      <c r="H30" s="3" t="str">
        <f>HYPERLINK(".\links\NR-LIGHT\ab-tri_asb-1117-NR-LIGHT.txt","T-cell receptor beta chain ANA 11")</f>
        <v>T-cell receptor beta chain ANA 11</v>
      </c>
      <c r="I30">
        <v>95</v>
      </c>
      <c r="J30" t="str">
        <f>HYPERLINK("http://www.ncbi.nlm.nih.gov/protein/170592076","gi|170592076")</f>
        <v>gi|170592076</v>
      </c>
    </row>
    <row r="31" spans="1:10" s="5" customFormat="1" x14ac:dyDescent="0.25">
      <c r="A31" s="4" t="s">
        <v>106</v>
      </c>
      <c r="B31" s="4">
        <v>2.7557251908396947</v>
      </c>
      <c r="C31" s="4">
        <v>8.511514708839929E-3</v>
      </c>
      <c r="D31" s="4">
        <v>26.299198013478222</v>
      </c>
      <c r="E31" s="4">
        <v>71.877587623030735</v>
      </c>
      <c r="F31" s="2" t="s">
        <v>287</v>
      </c>
      <c r="G31">
        <v>109.2</v>
      </c>
      <c r="H31" s="3" t="str">
        <f>HYPERLINK(".\links\NR-LIGHT\ab-tri_asb-2523-NR-LIGHT.txt","aluminum tubes, isoform G")</f>
        <v>aluminum tubes, isoform G</v>
      </c>
      <c r="I31">
        <v>99</v>
      </c>
      <c r="J31" t="str">
        <f>HYPERLINK("http://www.ncbi.nlm.nih.gov/protein/21358555","gi|21358555")</f>
        <v>gi|21358555</v>
      </c>
    </row>
    <row r="32" spans="1:10" s="5" customFormat="1" x14ac:dyDescent="0.25">
      <c r="A32" s="4" t="s">
        <v>159</v>
      </c>
      <c r="B32" s="4">
        <v>2.6790123456790123</v>
      </c>
      <c r="C32" s="4">
        <v>1</v>
      </c>
      <c r="D32" s="4">
        <v>16.25344925558705</v>
      </c>
      <c r="E32" s="4">
        <v>43.161444606645155</v>
      </c>
      <c r="F32" s="2" t="s">
        <v>289</v>
      </c>
      <c r="G32">
        <v>49.5</v>
      </c>
      <c r="H32" s="3" t="str">
        <f>HYPERLINK(".\links\NR-LIGHT\ab-tri_asb-36957-NR-LIGHT.txt","calreticulin")</f>
        <v>calreticulin</v>
      </c>
      <c r="I32">
        <v>95</v>
      </c>
      <c r="J32" t="str">
        <f>HYPERLINK("http://www.ncbi.nlm.nih.gov/protein/207083709","gi|207083709")</f>
        <v>gi|207083709</v>
      </c>
    </row>
    <row r="33" spans="1:10" s="5" customFormat="1" x14ac:dyDescent="0.25">
      <c r="A33" s="4" t="s">
        <v>32</v>
      </c>
      <c r="B33" s="4">
        <v>2.6384976525821595</v>
      </c>
      <c r="C33" s="4">
        <v>0.35106749235169543</v>
      </c>
      <c r="D33" s="4">
        <v>21.387544829711004</v>
      </c>
      <c r="E33" s="4">
        <v>55.91985905011888</v>
      </c>
      <c r="F33" s="2" t="s">
        <v>267</v>
      </c>
      <c r="G33"/>
      <c r="H33" s="3" t="str">
        <f>HYPERLINK(".\links\NR-LIGHT\ab-tri_asb-14282-NR-LIGHT.txt","conserved Plasmodium protein, unknown function")</f>
        <v>conserved Plasmodium protein, unknown function</v>
      </c>
      <c r="I33">
        <v>5</v>
      </c>
      <c r="J33" t="str">
        <f>HYPERLINK("http://www.ncbi.nlm.nih.gov/protein/296005375","gi|296005375")</f>
        <v>gi|296005375</v>
      </c>
    </row>
    <row r="34" spans="1:10" s="5" customFormat="1" x14ac:dyDescent="0.25">
      <c r="A34" s="6" t="s">
        <v>403</v>
      </c>
      <c r="B34" s="4">
        <v>2.6266094420600861</v>
      </c>
      <c r="C34" s="6">
        <v>0.14494117056706224</v>
      </c>
      <c r="D34" s="6">
        <v>23.35628059666076</v>
      </c>
      <c r="E34" s="6">
        <v>60.899468798857697</v>
      </c>
      <c r="F34" s="2" t="s">
        <v>285</v>
      </c>
      <c r="G34">
        <v>49.5</v>
      </c>
      <c r="H34" s="3" t="str">
        <f>HYPERLINK(".\links\NR-LIGHT\ab-tri_asb-19788-NR-LIGHT.txt","CG8008, isoform B")</f>
        <v>CG8008, isoform B</v>
      </c>
      <c r="I34">
        <v>42</v>
      </c>
      <c r="J34" t="str">
        <f>HYPERLINK("http://www.ncbi.nlm.nih.gov/protein/221330082","gi|221330082")</f>
        <v>gi|221330082</v>
      </c>
    </row>
    <row r="35" spans="1:10" s="5" customFormat="1" x14ac:dyDescent="0.25">
      <c r="A35" s="4" t="s">
        <v>160</v>
      </c>
      <c r="B35" s="4">
        <v>2.6169590643274852</v>
      </c>
      <c r="C35" s="4">
        <v>9.1773843704401337E-4</v>
      </c>
      <c r="D35" s="4">
        <v>34.343469968555937</v>
      </c>
      <c r="E35" s="4">
        <v>89.080494345032605</v>
      </c>
      <c r="F35" s="2" t="s">
        <v>290</v>
      </c>
      <c r="G35">
        <v>83</v>
      </c>
      <c r="H35" s="3" t="str">
        <f>HYPERLINK(".\links\NR-LIGHT\ab-tri_asb-3724-NR-LIGHT.txt","MIP13952p")</f>
        <v>MIP13952p</v>
      </c>
      <c r="I35">
        <v>66</v>
      </c>
      <c r="J35" t="str">
        <f>HYPERLINK("http://www.ncbi.nlm.nih.gov/protein/284427153","gi|284427153")</f>
        <v>gi|284427153</v>
      </c>
    </row>
    <row r="36" spans="1:10" s="5" customFormat="1" x14ac:dyDescent="0.25">
      <c r="A36" s="4" t="s">
        <v>30</v>
      </c>
      <c r="B36" s="4">
        <v>2.6026200873362448</v>
      </c>
      <c r="C36" s="4">
        <v>0.21876832572207849</v>
      </c>
      <c r="D36" s="4">
        <v>22.970180781553665</v>
      </c>
      <c r="E36" s="4">
        <v>59.363586889755027</v>
      </c>
      <c r="F36" s="2" t="s">
        <v>267</v>
      </c>
      <c r="G36"/>
      <c r="H36" s="3" t="str">
        <f>HYPERLINK(".\links\NR-LIGHT\ab-tri_asb-14152-NR-LIGHT.txt","hypothetical secreted peptide precursor")</f>
        <v>hypothetical secreted peptide precursor</v>
      </c>
      <c r="I36">
        <v>55</v>
      </c>
      <c r="J36" t="str">
        <f>HYPERLINK("http://www.ncbi.nlm.nih.gov/protein/289743881","gi|289743881")</f>
        <v>gi|289743881</v>
      </c>
    </row>
    <row r="37" spans="1:10" s="5" customFormat="1" x14ac:dyDescent="0.25">
      <c r="A37" s="4" t="s">
        <v>102</v>
      </c>
      <c r="B37" s="4">
        <v>2.6007005253940454</v>
      </c>
      <c r="C37" s="4">
        <v>2.9877942342437791E-8</v>
      </c>
      <c r="D37" s="4">
        <v>57.396310225561514</v>
      </c>
      <c r="E37" s="4">
        <v>147.81213167193684</v>
      </c>
      <c r="F37" s="2" t="s">
        <v>291</v>
      </c>
      <c r="G37">
        <v>67.900000000000006</v>
      </c>
      <c r="H37" s="3" t="str">
        <f>HYPERLINK(".\links\NR-LIGHT\ab-tri_asb-2497-NR-LIGHT.txt","adenylyl cyclase 76E")</f>
        <v>adenylyl cyclase 76E</v>
      </c>
      <c r="I37">
        <v>97</v>
      </c>
      <c r="J37" t="str">
        <f>HYPERLINK("http://www.ncbi.nlm.nih.gov/protein/3694982","gi|3694982")</f>
        <v>gi|3694982</v>
      </c>
    </row>
    <row r="38" spans="1:10" s="5" customFormat="1" x14ac:dyDescent="0.25">
      <c r="A38" s="4" t="s">
        <v>248</v>
      </c>
      <c r="B38" s="4">
        <v>2.545454545454545</v>
      </c>
      <c r="C38" s="4">
        <v>1</v>
      </c>
      <c r="D38" s="4">
        <v>1.1372675863967614</v>
      </c>
      <c r="E38" s="4">
        <v>2.8026912082237114</v>
      </c>
      <c r="F38" s="2" t="s">
        <v>288</v>
      </c>
      <c r="G38">
        <v>15</v>
      </c>
      <c r="H38" s="3" t="str">
        <f>HYPERLINK(".\links\NR-LIGHT\ab-tri_asb-7798-NR-LIGHT.txt","hypothetical protein HMPREF0485_05014")</f>
        <v>hypothetical protein HMPREF0485_05014</v>
      </c>
      <c r="I38">
        <v>100</v>
      </c>
      <c r="J38" t="str">
        <f>HYPERLINK("http://www.ncbi.nlm.nih.gov/protein/290513257","gi|290513257")</f>
        <v>gi|290513257</v>
      </c>
    </row>
    <row r="39" spans="1:10" s="5" customFormat="1" x14ac:dyDescent="0.25">
      <c r="A39" s="4" t="s">
        <v>258</v>
      </c>
      <c r="B39" s="4">
        <v>2.5057736720554273</v>
      </c>
      <c r="C39" s="4">
        <v>9.0753515786801131E-5</v>
      </c>
      <c r="D39" s="4">
        <v>43.447051148618215</v>
      </c>
      <c r="E39" s="4">
        <v>107.96414650203594</v>
      </c>
      <c r="F39" s="2" t="s">
        <v>280</v>
      </c>
      <c r="G39">
        <v>100</v>
      </c>
      <c r="H39" s="3" t="str">
        <f>HYPERLINK(".\links\NR-LIGHT\ab-tri_asb-9120-NR-LIGHT.txt","hypothetical conserved protein")</f>
        <v>hypothetical conserved protein</v>
      </c>
      <c r="I39">
        <v>100</v>
      </c>
      <c r="J39" t="str">
        <f>HYPERLINK("http://www.ncbi.nlm.nih.gov/protein/289740881","gi|289740881")</f>
        <v>gi|289740881</v>
      </c>
    </row>
    <row r="40" spans="1:10" s="5" customFormat="1" x14ac:dyDescent="0.25">
      <c r="A40" s="4" t="s">
        <v>44</v>
      </c>
      <c r="B40" s="4">
        <v>2.4978165938864634</v>
      </c>
      <c r="C40" s="4">
        <v>0.61457235805396637</v>
      </c>
      <c r="D40" s="4">
        <v>22.961288611428284</v>
      </c>
      <c r="E40" s="4">
        <v>56.898179237331497</v>
      </c>
      <c r="F40" s="2" t="s">
        <v>267</v>
      </c>
      <c r="G40"/>
      <c r="H40" s="3" t="str">
        <f>HYPERLINK(".\links\NR-LIGHT\ab-tri_asb-15606-NR-LIGHT.txt","conserved Plasmodium protein, unknown function")</f>
        <v>conserved Plasmodium protein, unknown function</v>
      </c>
      <c r="I40">
        <v>33</v>
      </c>
      <c r="J40" t="str">
        <f>HYPERLINK("http://www.ncbi.nlm.nih.gov/protein/124512020","gi|124512020")</f>
        <v>gi|124512020</v>
      </c>
    </row>
    <row r="41" spans="1:10" s="5" customFormat="1" x14ac:dyDescent="0.25">
      <c r="A41" s="4" t="s">
        <v>202</v>
      </c>
      <c r="B41" s="4">
        <v>2.4888888888888889</v>
      </c>
      <c r="C41" s="4">
        <v>0.11824122537308579</v>
      </c>
      <c r="D41" s="4">
        <v>27.165244686203266</v>
      </c>
      <c r="E41" s="4">
        <v>66.946243225388201</v>
      </c>
      <c r="F41" s="2" t="s">
        <v>292</v>
      </c>
      <c r="G41">
        <v>76.400000000000006</v>
      </c>
      <c r="H41" s="3" t="str">
        <f>HYPERLINK(".\links\NR-LIGHT\ab-tri_asb-55769-NR-LIGHT.txt","golgi microtubule-associated protein, isoform A")</f>
        <v>golgi microtubule-associated protein, isoform A</v>
      </c>
      <c r="I41">
        <v>90</v>
      </c>
      <c r="J41" t="str">
        <f>HYPERLINK("http://www.ncbi.nlm.nih.gov/protein/28571201","gi|28571201")</f>
        <v>gi|28571201</v>
      </c>
    </row>
    <row r="42" spans="1:10" s="5" customFormat="1" x14ac:dyDescent="0.25">
      <c r="A42" s="4" t="s">
        <v>246</v>
      </c>
      <c r="B42" s="4">
        <v>2.4629629629629628</v>
      </c>
      <c r="C42" s="4">
        <v>1</v>
      </c>
      <c r="D42" s="4">
        <v>10.872989684960709</v>
      </c>
      <c r="E42" s="4">
        <v>26.483527176116251</v>
      </c>
      <c r="F42" s="2" t="s">
        <v>294</v>
      </c>
      <c r="G42">
        <v>105.5</v>
      </c>
      <c r="H42" s="3" t="str">
        <f>HYPERLINK(".\links\NR-LIGHT\ab-tri_asb-730-NR-LIGHT.txt","dishevelled associated activator of morphogenesis, isoform D")</f>
        <v>dishevelled associated activator of morphogenesis, isoform D</v>
      </c>
      <c r="I42">
        <v>99</v>
      </c>
      <c r="J42" t="str">
        <f>HYPERLINK("http://www.ncbi.nlm.nih.gov/protein/320541621","gi|320541621")</f>
        <v>gi|320541621</v>
      </c>
    </row>
    <row r="43" spans="1:10" s="5" customFormat="1" x14ac:dyDescent="0.25">
      <c r="A43" s="4" t="s">
        <v>4</v>
      </c>
      <c r="B43" s="4">
        <v>2.4301801801801806</v>
      </c>
      <c r="C43" s="4">
        <v>2.1749205774468372E-4</v>
      </c>
      <c r="D43" s="4">
        <v>44.596668610937705</v>
      </c>
      <c r="E43" s="4">
        <v>107.46206221117406</v>
      </c>
      <c r="F43" s="2" t="s">
        <v>295</v>
      </c>
      <c r="G43">
        <v>97</v>
      </c>
      <c r="H43" s="3" t="str">
        <f>HYPERLINK(".\links\NR-LIGHT\ab-tri_asb-10430-NR-LIGHT.txt","CG31751, isoform A")</f>
        <v>CG31751, isoform A</v>
      </c>
      <c r="I43">
        <v>100</v>
      </c>
      <c r="J43" t="str">
        <f>HYPERLINK("http://www.ncbi.nlm.nih.gov/protein/24585008","gi|24585008")</f>
        <v>gi|24585008</v>
      </c>
    </row>
    <row r="44" spans="1:10" s="5" customFormat="1" x14ac:dyDescent="0.25">
      <c r="A44" s="4" t="s">
        <v>158</v>
      </c>
      <c r="B44" s="4">
        <v>2.3126213592233009</v>
      </c>
      <c r="C44" s="4">
        <v>1.4169473060321458E-4</v>
      </c>
      <c r="D44" s="4">
        <v>51.707319796714849</v>
      </c>
      <c r="E44" s="4">
        <v>118.60154987468393</v>
      </c>
      <c r="F44" s="2" t="s">
        <v>296</v>
      </c>
      <c r="G44">
        <v>106.3</v>
      </c>
      <c r="H44" s="3" t="str">
        <f>HYPERLINK(".\links\NR-LIGHT\ab-tri_asb-36572-NR-LIGHT.txt","CG7589")</f>
        <v>CG7589</v>
      </c>
      <c r="I44">
        <v>98</v>
      </c>
      <c r="J44" t="str">
        <f>HYPERLINK("http://www.ncbi.nlm.nih.gov/protein/45550641","gi|45550641")</f>
        <v>gi|45550641</v>
      </c>
    </row>
    <row r="45" spans="1:10" s="5" customFormat="1" x14ac:dyDescent="0.25">
      <c r="A45" s="4" t="s">
        <v>91</v>
      </c>
      <c r="B45" s="4">
        <v>2.3087719298245615</v>
      </c>
      <c r="C45" s="4">
        <v>0.4989375016425257</v>
      </c>
      <c r="D45" s="4">
        <v>28.637448140728139</v>
      </c>
      <c r="E45" s="4">
        <v>65.477316420678946</v>
      </c>
      <c r="F45" s="2" t="s">
        <v>271</v>
      </c>
      <c r="G45">
        <v>98.2</v>
      </c>
      <c r="H45" s="3" t="str">
        <f>HYPERLINK(".\links\NR-LIGHT\ab-tri_asb-22813-NR-LIGHT.txt","gamma-glutamyl hydrolase")</f>
        <v>gamma-glutamyl hydrolase</v>
      </c>
      <c r="I45">
        <v>100</v>
      </c>
      <c r="J45" t="str">
        <f>HYPERLINK("http://www.ncbi.nlm.nih.gov/protein/289740653","gi|289740653")</f>
        <v>gi|289740653</v>
      </c>
    </row>
    <row r="46" spans="1:10" s="5" customFormat="1" x14ac:dyDescent="0.25">
      <c r="A46" s="4" t="s">
        <v>131</v>
      </c>
      <c r="B46" s="4">
        <v>2.3017857142857143</v>
      </c>
      <c r="C46" s="4">
        <v>3.8960417341193931E-5</v>
      </c>
      <c r="D46" s="4">
        <v>56.246106555215256</v>
      </c>
      <c r="E46" s="4">
        <v>128.27608187138242</v>
      </c>
      <c r="F46" s="2" t="s">
        <v>267</v>
      </c>
      <c r="G46"/>
      <c r="H46" s="3" t="str">
        <f>HYPERLINK(".\links\NR-LIGHT\ab-tri_asb-30120-NR-LIGHT.txt","Pb-fam-2 protein")</f>
        <v>Pb-fam-2 protein</v>
      </c>
      <c r="I46">
        <v>22</v>
      </c>
      <c r="J46" t="str">
        <f>HYPERLINK("http://www.ncbi.nlm.nih.gov/protein/68068325","gi|68068325")</f>
        <v>gi|68068325</v>
      </c>
    </row>
    <row r="47" spans="1:10" s="5" customFormat="1" x14ac:dyDescent="0.25">
      <c r="A47" s="4" t="s">
        <v>126</v>
      </c>
      <c r="B47" s="4">
        <v>2.2955974842767297</v>
      </c>
      <c r="C47" s="4">
        <v>1</v>
      </c>
      <c r="D47" s="4">
        <v>15.988514822691501</v>
      </c>
      <c r="E47" s="4">
        <v>36.339151749465756</v>
      </c>
      <c r="F47" s="2" t="s">
        <v>267</v>
      </c>
      <c r="G47"/>
      <c r="H47" s="3" t="str">
        <f>HYPERLINK(".\links\NR-LIGHT\ab-tri_asb-28477-NR-LIGHT.txt","mCG133494, isoform CRA_a")</f>
        <v>mCG133494, isoform CRA_a</v>
      </c>
      <c r="I47">
        <v>11</v>
      </c>
      <c r="J47" t="str">
        <f>HYPERLINK("http://www.ncbi.nlm.nih.gov/protein/148685682","gi|148685682")</f>
        <v>gi|148685682</v>
      </c>
    </row>
    <row r="48" spans="1:10" s="5" customFormat="1" x14ac:dyDescent="0.25">
      <c r="A48" s="4" t="s">
        <v>256</v>
      </c>
      <c r="B48" s="4">
        <v>2.2558139534883721</v>
      </c>
      <c r="C48" s="4">
        <v>1</v>
      </c>
      <c r="D48" s="4">
        <v>4.3131297567674194</v>
      </c>
      <c r="E48" s="4">
        <v>9.6146949366295367</v>
      </c>
      <c r="F48" s="2" t="s">
        <v>298</v>
      </c>
      <c r="G48">
        <v>1.9</v>
      </c>
      <c r="H48" s="3" t="str">
        <f>HYPERLINK(".\links\NR-LIGHT\ab-tri_asb-8973-NR-LIGHT.txt","putative LysR family regulatory protein")</f>
        <v>putative LysR family regulatory protein</v>
      </c>
      <c r="I48">
        <v>34</v>
      </c>
      <c r="J48" t="str">
        <f>HYPERLINK("http://www.ncbi.nlm.nih.gov/protein/229589137","gi|229589137")</f>
        <v>gi|229589137</v>
      </c>
    </row>
    <row r="49" spans="1:10" s="5" customFormat="1" x14ac:dyDescent="0.25">
      <c r="A49" s="4" t="s">
        <v>120</v>
      </c>
      <c r="B49" s="4">
        <v>2.2535211267605635</v>
      </c>
      <c r="C49" s="4">
        <v>1</v>
      </c>
      <c r="D49" s="4">
        <v>7.1607172049785861</v>
      </c>
      <c r="E49" s="4">
        <v>15.882235153382203</v>
      </c>
      <c r="F49" s="2" t="s">
        <v>267</v>
      </c>
      <c r="G49"/>
      <c r="H49" s="3" t="str">
        <f>HYPERLINK(".\links\NR-LIGHT\ab-tri_asb-27480-NR-LIGHT.txt","hypothetical protein")</f>
        <v>hypothetical protein</v>
      </c>
      <c r="I49">
        <v>6</v>
      </c>
      <c r="J49" t="str">
        <f>HYPERLINK("http://www.ncbi.nlm.nih.gov/protein/83315508","gi|83315508")</f>
        <v>gi|83315508</v>
      </c>
    </row>
    <row r="50" spans="1:10" s="5" customFormat="1" x14ac:dyDescent="0.25">
      <c r="A50" s="4" t="s">
        <v>216</v>
      </c>
      <c r="B50" s="4">
        <v>2.225895316804408</v>
      </c>
      <c r="C50" s="4">
        <v>9.6948680342412441E-2</v>
      </c>
      <c r="D50" s="4">
        <v>36.41913443727573</v>
      </c>
      <c r="E50" s="4">
        <v>80.473908402109416</v>
      </c>
      <c r="F50" s="2" t="s">
        <v>267</v>
      </c>
      <c r="G50"/>
      <c r="H50" s="3" t="str">
        <f>HYPERLINK(".\links\NR-LIGHT\ab-tri_asb-56533-NR-LIGHT.txt","conserved Plasmodium protein, unknown function")</f>
        <v>conserved Plasmodium protein, unknown function</v>
      </c>
      <c r="I50">
        <v>1</v>
      </c>
      <c r="J50" t="str">
        <f>HYPERLINK("http://www.ncbi.nlm.nih.gov/protein/296005486","gi|296005486")</f>
        <v>gi|296005486</v>
      </c>
    </row>
    <row r="51" spans="1:10" s="5" customFormat="1" x14ac:dyDescent="0.25">
      <c r="A51" s="4" t="s">
        <v>181</v>
      </c>
      <c r="B51" s="4">
        <v>2.2207792207792205</v>
      </c>
      <c r="C51" s="4">
        <v>1</v>
      </c>
      <c r="D51" s="4">
        <v>23.237143116647342</v>
      </c>
      <c r="E51" s="4">
        <v>51.115027765117844</v>
      </c>
      <c r="F51" s="2" t="s">
        <v>299</v>
      </c>
      <c r="G51">
        <v>93.7</v>
      </c>
      <c r="H51" s="3" t="str">
        <f>HYPERLINK(".\links\NR-LIGHT\ab-tri_asb-50927-NR-LIGHT.txt","Rab protein 5")</f>
        <v>Rab protein 5</v>
      </c>
      <c r="I51">
        <v>100</v>
      </c>
      <c r="J51" t="str">
        <f>HYPERLINK("http://www.ncbi.nlm.nih.gov/protein/289743331","gi|289743331")</f>
        <v>gi|289743331</v>
      </c>
    </row>
    <row r="52" spans="1:10" s="5" customFormat="1" x14ac:dyDescent="0.25">
      <c r="A52" s="4" t="s">
        <v>196</v>
      </c>
      <c r="B52" s="4">
        <v>2.216981132075472</v>
      </c>
      <c r="C52" s="4">
        <v>1.7026850219242773E-2</v>
      </c>
      <c r="D52" s="4">
        <v>42.623841415161955</v>
      </c>
      <c r="E52" s="4">
        <v>93.557335894517763</v>
      </c>
      <c r="F52" s="2" t="s">
        <v>300</v>
      </c>
      <c r="G52">
        <v>87.1</v>
      </c>
      <c r="H52" s="3" t="str">
        <f>HYPERLINK(".\links\NR-LIGHT\ab-tri_asb-5547-NR-LIGHT.txt","CG6688")</f>
        <v>CG6688</v>
      </c>
      <c r="I52">
        <v>76</v>
      </c>
      <c r="J52" t="str">
        <f>HYPERLINK("http://www.ncbi.nlm.nih.gov/protein/24649175","gi|24649175")</f>
        <v>gi|24649175</v>
      </c>
    </row>
    <row r="53" spans="1:10" s="5" customFormat="1" x14ac:dyDescent="0.25">
      <c r="A53" s="4" t="s">
        <v>128</v>
      </c>
      <c r="B53" s="4">
        <v>2.2045454545454541</v>
      </c>
      <c r="C53" s="4">
        <v>1</v>
      </c>
      <c r="D53" s="4">
        <v>8.8415006606155302</v>
      </c>
      <c r="E53" s="4">
        <v>19.271602378671005</v>
      </c>
      <c r="F53" s="2" t="s">
        <v>302</v>
      </c>
      <c r="G53">
        <v>9.1</v>
      </c>
      <c r="H53" s="3" t="str">
        <f>HYPERLINK(".\links\NR-LIGHT\ab-tri_asb-2925-NR-LIGHT.txt","Na")</f>
        <v>Na</v>
      </c>
      <c r="I53">
        <v>9</v>
      </c>
      <c r="J53" t="str">
        <f>HYPERLINK("http://www.ncbi.nlm.nih.gov/protein/221473363","gi|221473363")</f>
        <v>gi|221473363</v>
      </c>
    </row>
    <row r="54" spans="1:10" s="5" customFormat="1" x14ac:dyDescent="0.25">
      <c r="A54" s="4" t="s">
        <v>108</v>
      </c>
      <c r="B54" s="4">
        <v>2.1914893617021276</v>
      </c>
      <c r="C54" s="4">
        <v>1</v>
      </c>
      <c r="D54" s="4">
        <v>4.7058432138052906</v>
      </c>
      <c r="E54" s="4">
        <v>10.286138667938799</v>
      </c>
      <c r="F54" s="2" t="s">
        <v>267</v>
      </c>
      <c r="G54"/>
      <c r="H54" s="3" t="str">
        <f>HYPERLINK(".\links\NR-LIGHT\ab-tri_asb-25316-NR-LIGHT.txt","actin filament-associated protein 1-like")</f>
        <v>actin filament-associated protein 1-like</v>
      </c>
      <c r="I54">
        <v>3</v>
      </c>
      <c r="J54" t="str">
        <f>HYPERLINK("http://www.ncbi.nlm.nih.gov/protein/189525987","gi|189525987")</f>
        <v>gi|189525987</v>
      </c>
    </row>
    <row r="55" spans="1:10" s="5" customFormat="1" x14ac:dyDescent="0.25">
      <c r="A55" s="4" t="s">
        <v>57</v>
      </c>
      <c r="B55" s="4">
        <v>2.185606060606061</v>
      </c>
      <c r="C55" s="4">
        <v>1</v>
      </c>
      <c r="D55" s="4">
        <v>26.538780608373376</v>
      </c>
      <c r="E55" s="4">
        <v>57.48807325619314</v>
      </c>
      <c r="F55" s="2" t="s">
        <v>303</v>
      </c>
      <c r="G55">
        <v>103.6</v>
      </c>
      <c r="H55" s="3" t="str">
        <f>HYPERLINK(".\links\NR-LIGHT\ab-tri_asb-1751-NR-LIGHT.txt","CG11984, isoform D")</f>
        <v>CG11984, isoform D</v>
      </c>
      <c r="I55">
        <v>100</v>
      </c>
      <c r="J55" t="str">
        <f>HYPERLINK("http://www.ncbi.nlm.nih.gov/protein/281361403","gi|281361403")</f>
        <v>gi|281361403</v>
      </c>
    </row>
    <row r="56" spans="1:10" s="5" customFormat="1" x14ac:dyDescent="0.25">
      <c r="A56" s="4" t="s">
        <v>86</v>
      </c>
      <c r="B56" s="4">
        <v>2.1818181818181821</v>
      </c>
      <c r="C56" s="4">
        <v>1</v>
      </c>
      <c r="D56" s="4">
        <v>13.264424514349329</v>
      </c>
      <c r="E56" s="4">
        <v>28.711295357366261</v>
      </c>
      <c r="F56" s="2" t="s">
        <v>301</v>
      </c>
      <c r="G56">
        <v>113</v>
      </c>
      <c r="H56" s="3" t="str">
        <f>HYPERLINK(".\links\NR-LIGHT\ab-tri_asb-2222-NR-LIGHT.txt","fork head, isoform A")</f>
        <v>fork head, isoform A</v>
      </c>
      <c r="I56">
        <v>100</v>
      </c>
      <c r="J56" t="str">
        <f>HYPERLINK("http://www.ncbi.nlm.nih.gov/protein/17738265","gi|17738265")</f>
        <v>gi|17738265</v>
      </c>
    </row>
    <row r="57" spans="1:10" s="5" customFormat="1" x14ac:dyDescent="0.25">
      <c r="A57" s="4" t="s">
        <v>130</v>
      </c>
      <c r="B57" s="4">
        <v>2.1747430249632891</v>
      </c>
      <c r="C57" s="4">
        <v>1.5253576179929951E-10</v>
      </c>
      <c r="D57" s="4">
        <v>205.23069390192367</v>
      </c>
      <c r="E57" s="4">
        <v>442.3036289833758</v>
      </c>
      <c r="F57" s="2" t="s">
        <v>290</v>
      </c>
      <c r="G57">
        <v>100</v>
      </c>
      <c r="H57" s="3" t="str">
        <f>HYPERLINK(".\links\NR-LIGHT\ab-tri_asb-29929-NR-LIGHT.txt","CG8925, isoform A")</f>
        <v>CG8925, isoform A</v>
      </c>
      <c r="I57">
        <v>83</v>
      </c>
      <c r="J57" t="str">
        <f>HYPERLINK("http://www.ncbi.nlm.nih.gov/protein/24647367","gi|24647367")</f>
        <v>gi|24647367</v>
      </c>
    </row>
    <row r="58" spans="1:10" s="5" customFormat="1" x14ac:dyDescent="0.25">
      <c r="A58" s="4" t="s">
        <v>262</v>
      </c>
      <c r="B58" s="4">
        <v>2.1553398058252426</v>
      </c>
      <c r="C58" s="4">
        <v>1</v>
      </c>
      <c r="D58" s="4">
        <v>31.033315067738176</v>
      </c>
      <c r="E58" s="4">
        <v>66.252643853160862</v>
      </c>
      <c r="F58" s="2" t="s">
        <v>267</v>
      </c>
      <c r="G58"/>
      <c r="H58" s="3" t="str">
        <f>HYPERLINK(".\links\NR-LIGHT\ab-tri_asb-9877-NR-LIGHT.txt","NLI interacting factor")</f>
        <v>NLI interacting factor</v>
      </c>
      <c r="I58">
        <v>11</v>
      </c>
      <c r="J58" t="str">
        <f>HYPERLINK("http://www.ncbi.nlm.nih.gov/protein/83286266","gi|83286266")</f>
        <v>gi|83286266</v>
      </c>
    </row>
    <row r="59" spans="1:10" s="5" customFormat="1" x14ac:dyDescent="0.25">
      <c r="A59" s="4" t="s">
        <v>236</v>
      </c>
      <c r="B59" s="4">
        <v>2.1111111111111112</v>
      </c>
      <c r="C59" s="4">
        <v>1</v>
      </c>
      <c r="D59" s="4">
        <v>4.5360901185254496</v>
      </c>
      <c r="E59" s="4">
        <v>9.4356450457020564</v>
      </c>
      <c r="F59" s="2" t="s">
        <v>304</v>
      </c>
      <c r="G59">
        <v>106.3</v>
      </c>
      <c r="H59" s="3" t="str">
        <f>HYPERLINK(".\links\NR-LIGHT\ab-tri_asb-6587-NR-LIGHT.txt","CG42750")</f>
        <v>CG42750</v>
      </c>
      <c r="I59">
        <v>35</v>
      </c>
      <c r="J59" t="str">
        <f>HYPERLINK("http://www.ncbi.nlm.nih.gov/protein/320545194","gi|320545194")</f>
        <v>gi|320545194</v>
      </c>
    </row>
    <row r="60" spans="1:10" s="5" customFormat="1" x14ac:dyDescent="0.25">
      <c r="A60" s="4" t="s">
        <v>175</v>
      </c>
      <c r="B60" s="4">
        <v>2.0943396226415096</v>
      </c>
      <c r="C60" s="4">
        <v>1</v>
      </c>
      <c r="D60" s="4">
        <v>10.679220018603734</v>
      </c>
      <c r="E60" s="4">
        <v>22.107081383891419</v>
      </c>
      <c r="F60" s="2" t="s">
        <v>267</v>
      </c>
      <c r="G60"/>
      <c r="H60" s="3" t="str">
        <f>HYPERLINK(".\links\NR-LIGHT\ab-tri_asb-45822-NR-LIGHT.txt","hypothetical protein")</f>
        <v>hypothetical protein</v>
      </c>
      <c r="I60">
        <v>6</v>
      </c>
      <c r="J60" t="str">
        <f>HYPERLINK("http://www.ncbi.nlm.nih.gov/protein/83315800","gi|83315800")</f>
        <v>gi|83315800</v>
      </c>
    </row>
    <row r="61" spans="1:10" s="5" customFormat="1" x14ac:dyDescent="0.25">
      <c r="A61" s="4" t="s">
        <v>73</v>
      </c>
      <c r="B61" s="4">
        <v>2.0667302192564345</v>
      </c>
      <c r="C61" s="4">
        <v>0</v>
      </c>
      <c r="D61" s="4">
        <v>421.47828234096329</v>
      </c>
      <c r="E61" s="4">
        <v>863.25681027301084</v>
      </c>
      <c r="F61" s="2" t="s">
        <v>305</v>
      </c>
      <c r="G61">
        <v>91.8</v>
      </c>
      <c r="H61" s="3" t="str">
        <f>HYPERLINK(".\links\NR-LIGHT\ab-tri_asb-20370-NR-LIGHT.txt","Fe2+/Zn2+ regulated transporter")</f>
        <v>Fe2+/Zn2+ regulated transporter</v>
      </c>
      <c r="I61">
        <v>100</v>
      </c>
      <c r="J61" t="str">
        <f>HYPERLINK("http://www.ncbi.nlm.nih.gov/protein/289740897","gi|289740897")</f>
        <v>gi|289740897</v>
      </c>
    </row>
    <row r="62" spans="1:10" s="5" customFormat="1" x14ac:dyDescent="0.25">
      <c r="A62" s="4" t="s">
        <v>27</v>
      </c>
      <c r="B62" s="4">
        <v>2.018691588785047</v>
      </c>
      <c r="C62" s="4">
        <v>1</v>
      </c>
      <c r="D62" s="4">
        <v>21.503120410025133</v>
      </c>
      <c r="E62" s="4">
        <v>42.978711987650044</v>
      </c>
      <c r="F62" s="2" t="s">
        <v>267</v>
      </c>
      <c r="G62"/>
      <c r="H62" s="3" t="str">
        <f>HYPERLINK(".\links\NR-LIGHT\ab-tri_asb-13073-NR-LIGHT.txt","conserved Plasmodium protein")</f>
        <v>conserved Plasmodium protein</v>
      </c>
      <c r="I62">
        <v>6</v>
      </c>
      <c r="J62" t="str">
        <f>HYPERLINK("http://www.ncbi.nlm.nih.gov/protein/124804348","gi|124804348")</f>
        <v>gi|124804348</v>
      </c>
    </row>
    <row r="63" spans="1:10" s="5" customFormat="1" x14ac:dyDescent="0.25">
      <c r="A63" s="4" t="s">
        <v>77</v>
      </c>
      <c r="B63" s="4">
        <v>2.0185185185185186</v>
      </c>
      <c r="C63" s="4">
        <v>1</v>
      </c>
      <c r="D63" s="4">
        <v>5.3811153812229113</v>
      </c>
      <c r="E63" s="4">
        <v>10.881036455456762</v>
      </c>
      <c r="F63" s="2" t="s">
        <v>267</v>
      </c>
      <c r="G63"/>
      <c r="H63" s="3" t="str">
        <f>HYPERLINK(".\links\NR-LIGHT\ab-tri_asb-20802-NR-LIGHT.txt","hypothetical protein LOC100503367")</f>
        <v>hypothetical protein LOC100503367</v>
      </c>
      <c r="I63">
        <v>53</v>
      </c>
      <c r="J63" t="str">
        <f>HYPERLINK("http://www.ncbi.nlm.nih.gov/protein/309270005","gi|309270005")</f>
        <v>gi|309270005</v>
      </c>
    </row>
    <row r="64" spans="1:10" s="5" customFormat="1" x14ac:dyDescent="0.25">
      <c r="A64" s="4" t="s">
        <v>206</v>
      </c>
      <c r="B64" s="4">
        <v>2.012323943661972</v>
      </c>
      <c r="C64" s="4">
        <v>1.2835895137782716E-2</v>
      </c>
      <c r="D64" s="4">
        <v>57.106216927736732</v>
      </c>
      <c r="E64" s="4">
        <v>113.76209014743175</v>
      </c>
      <c r="F64" s="2" t="s">
        <v>306</v>
      </c>
      <c r="G64">
        <v>96</v>
      </c>
      <c r="H64" s="3" t="str">
        <f>HYPERLINK(".\links\NR-LIGHT\ab-tri_asb-56110-NR-LIGHT.txt","Misexpression suppressor of ras 3")</f>
        <v>Misexpression suppressor of ras 3</v>
      </c>
      <c r="I64">
        <v>96</v>
      </c>
      <c r="J64" t="str">
        <f>HYPERLINK("http://www.ncbi.nlm.nih.gov/protein/11066119","gi|11066119")</f>
        <v>gi|11066119</v>
      </c>
    </row>
    <row r="65" spans="1:10" s="5" customFormat="1" x14ac:dyDescent="0.25">
      <c r="A65" s="4" t="s">
        <v>38</v>
      </c>
      <c r="B65" s="4">
        <v>1.9818481848184817</v>
      </c>
      <c r="C65" s="4">
        <v>9.3421517080405359E-3</v>
      </c>
      <c r="D65" s="4">
        <v>60.861126378280446</v>
      </c>
      <c r="E65" s="4">
        <v>119.59265294799323</v>
      </c>
      <c r="F65" s="2" t="s">
        <v>307</v>
      </c>
      <c r="G65">
        <v>105.7</v>
      </c>
      <c r="H65" s="3" t="str">
        <f>HYPERLINK(".\links\NR-LIGHT\ab-tri_asb-14966-NR-LIGHT.txt","AT02631p")</f>
        <v>AT02631p</v>
      </c>
      <c r="I65">
        <v>100</v>
      </c>
      <c r="J65" t="str">
        <f>HYPERLINK("http://www.ncbi.nlm.nih.gov/protein/21429704","gi|21429704")</f>
        <v>gi|21429704</v>
      </c>
    </row>
    <row r="66" spans="1:10" s="5" customFormat="1" x14ac:dyDescent="0.25">
      <c r="A66" s="4" t="s">
        <v>139</v>
      </c>
      <c r="B66" s="4">
        <v>1.9675278836651136</v>
      </c>
      <c r="C66" s="4">
        <v>2.8600455337368658E-11</v>
      </c>
      <c r="D66" s="4">
        <v>711.52380451844738</v>
      </c>
      <c r="E66" s="4">
        <v>1387.3496981295361</v>
      </c>
      <c r="F66" s="2" t="s">
        <v>308</v>
      </c>
      <c r="G66">
        <v>100</v>
      </c>
      <c r="H66" s="3" t="str">
        <f>HYPERLINK(".\links\NR-LIGHT\ab-tri_asb-31711-NR-LIGHT.txt","putative salivary secreted protein")</f>
        <v>putative salivary secreted protein</v>
      </c>
      <c r="I66">
        <v>100</v>
      </c>
      <c r="J66" t="str">
        <f>HYPERLINK("http://www.ncbi.nlm.nih.gov/protein/289740329","gi|289740329")</f>
        <v>gi|289740329</v>
      </c>
    </row>
    <row r="67" spans="1:10" s="5" customFormat="1" x14ac:dyDescent="0.25">
      <c r="A67" s="4" t="s">
        <v>188</v>
      </c>
      <c r="B67" s="4">
        <v>1.9574468085106385</v>
      </c>
      <c r="C67" s="4">
        <v>1</v>
      </c>
      <c r="D67" s="4">
        <v>14.148800670936128</v>
      </c>
      <c r="E67" s="4">
        <v>27.517776910786868</v>
      </c>
      <c r="F67" s="2" t="s">
        <v>298</v>
      </c>
      <c r="G67">
        <v>4.3</v>
      </c>
      <c r="H67" s="3" t="str">
        <f>HYPERLINK(".\links\NR-LIGHT\ab-tri_asb-54009-NR-LIGHT.txt","unspecific monooxygenase")</f>
        <v>unspecific monooxygenase</v>
      </c>
      <c r="I67">
        <v>78</v>
      </c>
      <c r="J67" t="str">
        <f>HYPERLINK("http://www.ncbi.nlm.nih.gov/protein/170576227","gi|170576227")</f>
        <v>gi|170576227</v>
      </c>
    </row>
    <row r="68" spans="1:10" s="5" customFormat="1" x14ac:dyDescent="0.25">
      <c r="A68" s="4" t="s">
        <v>34</v>
      </c>
      <c r="B68" s="4">
        <v>1.9470198675496688</v>
      </c>
      <c r="C68" s="4">
        <v>2.0378564016583223E-2</v>
      </c>
      <c r="D68" s="4">
        <v>60.644467243576727</v>
      </c>
      <c r="E68" s="4">
        <v>117.04618352688748</v>
      </c>
      <c r="F68" s="2" t="s">
        <v>309</v>
      </c>
      <c r="G68">
        <v>32</v>
      </c>
      <c r="H68" s="3" t="str">
        <f>HYPERLINK(".\links\NR-LIGHT\ab-tri_asb-14569-NR-LIGHT.txt","golgi microtubule-associated protein, isoform B")</f>
        <v>golgi microtubule-associated protein, isoform B</v>
      </c>
      <c r="I68">
        <v>75</v>
      </c>
      <c r="J68" t="str">
        <f>HYPERLINK("http://www.ncbi.nlm.nih.gov/protein/28571203","gi|28571203")</f>
        <v>gi|28571203</v>
      </c>
    </row>
    <row r="69" spans="1:10" s="5" customFormat="1" x14ac:dyDescent="0.25">
      <c r="A69" s="4" t="s">
        <v>257</v>
      </c>
      <c r="B69" s="4">
        <v>1.9163987138263665</v>
      </c>
      <c r="C69" s="4">
        <v>2.563688488798288E-2</v>
      </c>
      <c r="D69" s="4">
        <v>62.449390746667817</v>
      </c>
      <c r="E69" s="4">
        <v>118.70062927601732</v>
      </c>
      <c r="F69" s="2" t="s">
        <v>310</v>
      </c>
      <c r="G69">
        <v>90.6</v>
      </c>
      <c r="H69" s="3" t="str">
        <f>HYPERLINK(".\links\NR-LIGHT\ab-tri_asb-9050-NR-LIGHT.txt","fatty acid desaturase")</f>
        <v>fatty acid desaturase</v>
      </c>
      <c r="I69">
        <v>100</v>
      </c>
      <c r="J69" t="str">
        <f>HYPERLINK("http://www.ncbi.nlm.nih.gov/protein/289740765","gi|289740765")</f>
        <v>gi|289740765</v>
      </c>
    </row>
    <row r="70" spans="1:10" s="5" customFormat="1" x14ac:dyDescent="0.25">
      <c r="A70" s="4" t="s">
        <v>253</v>
      </c>
      <c r="B70" s="4">
        <v>1.9095477386934674</v>
      </c>
      <c r="C70" s="4">
        <v>1</v>
      </c>
      <c r="D70" s="4">
        <v>20.037607888142006</v>
      </c>
      <c r="E70" s="4">
        <v>37.834648574470805</v>
      </c>
      <c r="F70" s="2" t="s">
        <v>267</v>
      </c>
      <c r="G70"/>
      <c r="H70" s="3" t="str">
        <f>HYPERLINK(".\links\NR-LIGHT\ab-tri_asb-8722-NR-LIGHT.txt","hypothetical protein")</f>
        <v>hypothetical protein</v>
      </c>
      <c r="I70">
        <v>24</v>
      </c>
      <c r="J70" t="str">
        <f>HYPERLINK("http://www.ncbi.nlm.nih.gov/protein/71744952","gi|71744952")</f>
        <v>gi|71744952</v>
      </c>
    </row>
    <row r="71" spans="1:10" s="5" customFormat="1" x14ac:dyDescent="0.25">
      <c r="A71" s="4" t="s">
        <v>3</v>
      </c>
      <c r="B71" s="4">
        <v>1.8897485493230173</v>
      </c>
      <c r="C71" s="4">
        <v>0.37431391123727842</v>
      </c>
      <c r="D71" s="4">
        <v>51.925957170314589</v>
      </c>
      <c r="E71" s="4">
        <v>97.228999173491459</v>
      </c>
      <c r="F71" s="2" t="s">
        <v>311</v>
      </c>
      <c r="G71">
        <v>98.3</v>
      </c>
      <c r="H71" s="3" t="str">
        <f>HYPERLINK(".\links\NR-LIGHT\ab-tri_asb-10256-NR-LIGHT.txt","CG10470")</f>
        <v>CG10470</v>
      </c>
      <c r="I71">
        <v>100</v>
      </c>
      <c r="J71" t="str">
        <f>HYPERLINK("http://www.ncbi.nlm.nih.gov/protein/24585112","gi|24585112")</f>
        <v>gi|24585112</v>
      </c>
    </row>
    <row r="72" spans="1:10" s="5" customFormat="1" x14ac:dyDescent="0.25">
      <c r="A72" s="4" t="s">
        <v>66</v>
      </c>
      <c r="B72" s="4">
        <v>1.8710021321961621</v>
      </c>
      <c r="C72" s="4">
        <v>1.5778046563164061E-4</v>
      </c>
      <c r="D72" s="4">
        <v>94.184871699485527</v>
      </c>
      <c r="E72" s="4">
        <v>174.66323971839265</v>
      </c>
      <c r="F72" s="2" t="s">
        <v>284</v>
      </c>
      <c r="G72">
        <v>2.7</v>
      </c>
      <c r="H72" s="3" t="str">
        <f>HYPERLINK(".\links\NR-LIGHT\ab-tri_asb-19588-NR-LIGHT.txt","hepatocellular carcinoma-associated antigen")</f>
        <v>hepatocellular carcinoma-associated antigen</v>
      </c>
      <c r="I72">
        <v>10</v>
      </c>
      <c r="J72" t="str">
        <f>HYPERLINK("http://www.ncbi.nlm.nih.gov/protein/170061903","gi|170061903")</f>
        <v>gi|170061903</v>
      </c>
    </row>
    <row r="73" spans="1:10" s="5" customFormat="1" x14ac:dyDescent="0.25">
      <c r="A73" s="4" t="s">
        <v>31</v>
      </c>
      <c r="B73" s="4">
        <v>1.8636363636363633</v>
      </c>
      <c r="C73" s="4">
        <v>1</v>
      </c>
      <c r="D73" s="4">
        <v>4.3960644654894896</v>
      </c>
      <c r="E73" s="4">
        <v>8.1469393434229804</v>
      </c>
      <c r="F73" s="2" t="s">
        <v>267</v>
      </c>
      <c r="G73"/>
      <c r="H73" s="3" t="str">
        <f>HYPERLINK(".\links\NR-LIGHT\ab-tri_asb-14218-NR-LIGHT.txt","hypothetical protein")</f>
        <v>hypothetical protein</v>
      </c>
      <c r="I73">
        <v>10</v>
      </c>
      <c r="J73" t="str">
        <f>HYPERLINK("http://www.ncbi.nlm.nih.gov/protein/289724737","gi|289724737")</f>
        <v>gi|289724737</v>
      </c>
    </row>
    <row r="74" spans="1:10" s="5" customFormat="1" x14ac:dyDescent="0.25">
      <c r="A74" s="4" t="s">
        <v>18</v>
      </c>
      <c r="B74" s="4">
        <v>1.8571428571428572</v>
      </c>
      <c r="C74" s="4">
        <v>1</v>
      </c>
      <c r="D74" s="4">
        <v>17.604198772935437</v>
      </c>
      <c r="E74" s="4">
        <v>32.304338953014827</v>
      </c>
      <c r="F74" s="2" t="s">
        <v>267</v>
      </c>
      <c r="G74"/>
      <c r="H74" s="3" t="str">
        <f>HYPERLINK(".\links\NR-LIGHT\ab-tri_asb-11702-NR-LIGHT.txt","hypothetical protein")</f>
        <v>hypothetical protein</v>
      </c>
      <c r="I74">
        <v>2</v>
      </c>
      <c r="J74" t="str">
        <f>HYPERLINK("http://www.ncbi.nlm.nih.gov/protein/156094071","gi|156094071")</f>
        <v>gi|156094071</v>
      </c>
    </row>
    <row r="75" spans="1:10" s="5" customFormat="1" x14ac:dyDescent="0.25">
      <c r="A75" s="4" t="s">
        <v>124</v>
      </c>
      <c r="B75" s="4">
        <v>1.8291139240506327</v>
      </c>
      <c r="C75" s="4">
        <v>1</v>
      </c>
      <c r="D75" s="4">
        <v>31.730371664512127</v>
      </c>
      <c r="E75" s="4">
        <v>57.497483934251981</v>
      </c>
      <c r="F75" s="2" t="s">
        <v>312</v>
      </c>
      <c r="G75">
        <v>100</v>
      </c>
      <c r="H75" s="3" t="str">
        <f>HYPERLINK(".\links\NR-LIGHT\ab-tri_asb-2812-NR-LIGHT.txt","cytochrome b5")</f>
        <v>cytochrome b5</v>
      </c>
      <c r="I75">
        <v>100</v>
      </c>
      <c r="J75" t="str">
        <f>HYPERLINK("http://www.ncbi.nlm.nih.gov/protein/289740673","gi|289740673")</f>
        <v>gi|289740673</v>
      </c>
    </row>
    <row r="76" spans="1:10" s="5" customFormat="1" x14ac:dyDescent="0.25">
      <c r="A76" s="4" t="s">
        <v>56</v>
      </c>
      <c r="B76" s="4">
        <v>1.8195121951219511</v>
      </c>
      <c r="C76" s="4">
        <v>1</v>
      </c>
      <c r="D76" s="4">
        <v>20.548824079118379</v>
      </c>
      <c r="E76" s="4">
        <v>37.162471258790141</v>
      </c>
      <c r="F76" s="2" t="s">
        <v>267</v>
      </c>
      <c r="G76"/>
      <c r="H76" s="3" t="str">
        <f>HYPERLINK(".\links\NR-LIGHT\ab-tri_asb-17464-NR-LIGHT.txt","conserved hypothetical protein")</f>
        <v>conserved hypothetical protein</v>
      </c>
      <c r="I76">
        <v>27</v>
      </c>
      <c r="J76" t="str">
        <f>HYPERLINK("http://www.ncbi.nlm.nih.gov/protein/170048114","gi|170048114")</f>
        <v>gi|170048114</v>
      </c>
    </row>
    <row r="77" spans="1:10" s="5" customFormat="1" x14ac:dyDescent="0.25">
      <c r="A77" s="4" t="s">
        <v>249</v>
      </c>
      <c r="B77" s="4">
        <v>1.8188585607940446</v>
      </c>
      <c r="C77" s="4">
        <v>1</v>
      </c>
      <c r="D77" s="4">
        <v>40.444768630789682</v>
      </c>
      <c r="E77" s="4">
        <v>72.973371671983969</v>
      </c>
      <c r="F77" s="2" t="s">
        <v>315</v>
      </c>
      <c r="G77">
        <v>97.8</v>
      </c>
      <c r="H77" s="3" t="str">
        <f>HYPERLINK(".\links\NR-LIGHT\ab-tri_asb-7861-NR-LIGHT.txt","CG1998, isoform A")</f>
        <v>CG1998, isoform A</v>
      </c>
      <c r="I77">
        <v>77</v>
      </c>
      <c r="J77" t="str">
        <f>HYPERLINK("http://www.ncbi.nlm.nih.gov/protein/18859821","gi|18859821")</f>
        <v>gi|18859821</v>
      </c>
    </row>
    <row r="78" spans="1:10" s="5" customFormat="1" x14ac:dyDescent="0.25">
      <c r="A78" s="4" t="s">
        <v>135</v>
      </c>
      <c r="B78" s="4">
        <v>1.8134920634920637</v>
      </c>
      <c r="C78" s="4">
        <v>1</v>
      </c>
      <c r="D78" s="4">
        <v>25.337009593089387</v>
      </c>
      <c r="E78" s="4">
        <v>45.500613807354945</v>
      </c>
      <c r="F78" s="2" t="s">
        <v>314</v>
      </c>
      <c r="G78">
        <v>49.5</v>
      </c>
      <c r="H78" s="3" t="str">
        <f>HYPERLINK(".\links\NR-LIGHT\ab-tri_asb-31168-NR-LIGHT.txt","serotonin receptor 2")</f>
        <v>serotonin receptor 2</v>
      </c>
      <c r="I78">
        <v>50</v>
      </c>
      <c r="J78" t="str">
        <f>HYPERLINK("http://www.ncbi.nlm.nih.gov/protein/289812788","gi|289812788")</f>
        <v>gi|289812788</v>
      </c>
    </row>
    <row r="79" spans="1:10" s="5" customFormat="1" x14ac:dyDescent="0.25">
      <c r="A79" s="4" t="s">
        <v>153</v>
      </c>
      <c r="B79" s="4">
        <v>1.8085106382978724</v>
      </c>
      <c r="C79" s="4">
        <v>1</v>
      </c>
      <c r="D79" s="4">
        <v>14.209407466262933</v>
      </c>
      <c r="E79" s="4">
        <v>25.408246636364694</v>
      </c>
      <c r="F79" s="2" t="s">
        <v>313</v>
      </c>
      <c r="G79">
        <v>7.8</v>
      </c>
      <c r="H79" s="3" t="str">
        <f>HYPERLINK(".\links\NR-LIGHT\ab-tri_asb-34851-NR-LIGHT.txt","MIP06036p")</f>
        <v>MIP06036p</v>
      </c>
      <c r="I79">
        <v>15</v>
      </c>
      <c r="J79" t="str">
        <f>HYPERLINK("http://www.ncbi.nlm.nih.gov/protein/223976009","gi|223976009")</f>
        <v>gi|223976009</v>
      </c>
    </row>
    <row r="80" spans="1:10" s="5" customFormat="1" x14ac:dyDescent="0.25">
      <c r="A80" s="4" t="s">
        <v>36</v>
      </c>
      <c r="B80" s="4">
        <v>1.8045977011494254</v>
      </c>
      <c r="C80" s="4">
        <v>1</v>
      </c>
      <c r="D80" s="4">
        <v>8.7569604152550635</v>
      </c>
      <c r="E80" s="4">
        <v>15.632864692894646</v>
      </c>
      <c r="F80" s="2" t="s">
        <v>267</v>
      </c>
      <c r="G80"/>
      <c r="H80" s="3" t="str">
        <f>HYPERLINK(".\links\NR-LIGHT\ab-tri_asb-14827-NR-LIGHT.txt","transformation/transcription domain-associated protein-like")</f>
        <v>transformation/transcription domain-associated protein-like</v>
      </c>
      <c r="I80">
        <v>1</v>
      </c>
      <c r="J80" t="str">
        <f>HYPERLINK("http://www.ncbi.nlm.nih.gov/protein/345480161","gi|345480161")</f>
        <v>gi|345480161</v>
      </c>
    </row>
    <row r="81" spans="1:10" s="5" customFormat="1" x14ac:dyDescent="0.25">
      <c r="A81" s="4" t="s">
        <v>255</v>
      </c>
      <c r="B81" s="4">
        <v>1.8026315789473684</v>
      </c>
      <c r="C81" s="4">
        <v>1</v>
      </c>
      <c r="D81" s="4">
        <v>7.6147481871783151</v>
      </c>
      <c r="E81" s="4">
        <v>13.672258850552192</v>
      </c>
      <c r="F81" s="2" t="s">
        <v>267</v>
      </c>
      <c r="G81"/>
      <c r="H81" s="3" t="str">
        <f>HYPERLINK(".\links\NR-LIGHT\ab-tri_asb-8756-NR-LIGHT.txt","cbb3-type cytochrome c oxidase subunit I")</f>
        <v>cbb3-type cytochrome c oxidase subunit I</v>
      </c>
      <c r="I81">
        <v>12</v>
      </c>
      <c r="J81" t="str">
        <f>HYPERLINK("http://www.ncbi.nlm.nih.gov/protein/77458737","gi|77458737")</f>
        <v>gi|77458737</v>
      </c>
    </row>
    <row r="82" spans="1:10" s="5" customFormat="1" x14ac:dyDescent="0.25">
      <c r="A82" s="4" t="s">
        <v>230</v>
      </c>
      <c r="B82" s="4">
        <v>1.7819148936170213</v>
      </c>
      <c r="C82" s="4">
        <v>1</v>
      </c>
      <c r="D82" s="4">
        <v>18.838044229231468</v>
      </c>
      <c r="E82" s="4">
        <v>33.371904169752135</v>
      </c>
      <c r="F82" s="2" t="s">
        <v>290</v>
      </c>
      <c r="G82">
        <v>106.1</v>
      </c>
      <c r="H82" s="3" t="str">
        <f>HYPERLINK(".\links\NR-LIGHT\ab-tri_asb-57928-NR-LIGHT.txt","CG6356")</f>
        <v>CG6356</v>
      </c>
      <c r="I82">
        <v>99</v>
      </c>
      <c r="J82" t="str">
        <f>HYPERLINK("http://www.ncbi.nlm.nih.gov/protein/24649622","gi|24649622")</f>
        <v>gi|24649622</v>
      </c>
    </row>
    <row r="83" spans="1:10" s="5" customFormat="1" x14ac:dyDescent="0.25">
      <c r="A83" s="4" t="s">
        <v>71</v>
      </c>
      <c r="B83" s="4">
        <v>1.7814569536423841</v>
      </c>
      <c r="C83" s="4">
        <v>1</v>
      </c>
      <c r="D83" s="4">
        <v>15.167284379363345</v>
      </c>
      <c r="E83" s="4">
        <v>26.7995897884398</v>
      </c>
      <c r="F83" s="2" t="s">
        <v>267</v>
      </c>
      <c r="G83"/>
      <c r="H83" s="3" t="str">
        <f>HYPERLINK(".\links\NR-LIGHT\ab-tri_asb-20087-NR-LIGHT.txt","hypothetical protein, unlikely")</f>
        <v>hypothetical protein, unlikely</v>
      </c>
      <c r="I83">
        <v>30</v>
      </c>
      <c r="J83" t="str">
        <f>HYPERLINK("http://www.ncbi.nlm.nih.gov/protein/261329329","gi|261329329")</f>
        <v>gi|261329329</v>
      </c>
    </row>
    <row r="84" spans="1:10" s="5" customFormat="1" x14ac:dyDescent="0.25">
      <c r="A84" s="4" t="s">
        <v>225</v>
      </c>
      <c r="B84" s="4">
        <v>1.7352941176470589</v>
      </c>
      <c r="C84" s="4">
        <v>1</v>
      </c>
      <c r="D84" s="4">
        <v>6.8438056531300671</v>
      </c>
      <c r="E84" s="4">
        <v>11.729486722587405</v>
      </c>
      <c r="F84" s="2" t="s">
        <v>267</v>
      </c>
      <c r="G84"/>
      <c r="H84" s="3" t="str">
        <f>HYPERLINK(".\links\NR-LIGHT\ab-tri_asb-57321-NR-LIGHT.txt","Sox21b")</f>
        <v>Sox21b</v>
      </c>
      <c r="I84">
        <v>14</v>
      </c>
      <c r="J84" t="str">
        <f>HYPERLINK("http://www.ncbi.nlm.nih.gov/protein/21357781","gi|21357781")</f>
        <v>gi|21357781</v>
      </c>
    </row>
    <row r="85" spans="1:10" s="5" customFormat="1" x14ac:dyDescent="0.25">
      <c r="A85" s="4" t="s">
        <v>127</v>
      </c>
      <c r="B85" s="4">
        <v>1.7352496217851743</v>
      </c>
      <c r="C85" s="4">
        <v>0.55239949226588703</v>
      </c>
      <c r="D85" s="4">
        <v>66.440891522720094</v>
      </c>
      <c r="E85" s="4">
        <v>114.17707730246246</v>
      </c>
      <c r="F85" s="2" t="s">
        <v>267</v>
      </c>
      <c r="G85"/>
      <c r="H85" s="3" t="str">
        <f>HYPERLINK(".\links\NR-LIGHT\ab-tri_asb-28966-NR-LIGHT.txt","conserved Plasmodium protein")</f>
        <v>conserved Plasmodium protein</v>
      </c>
      <c r="I85">
        <v>3</v>
      </c>
      <c r="J85" t="str">
        <f>HYPERLINK("http://www.ncbi.nlm.nih.gov/protein/258597507","gi|258597507")</f>
        <v>gi|258597507</v>
      </c>
    </row>
    <row r="86" spans="1:10" s="5" customFormat="1" x14ac:dyDescent="0.25">
      <c r="A86" s="4" t="s">
        <v>5</v>
      </c>
      <c r="B86" s="4">
        <v>1.7282608695652173</v>
      </c>
      <c r="C86" s="4">
        <v>1</v>
      </c>
      <c r="D86" s="4">
        <v>27.69009503003436</v>
      </c>
      <c r="E86" s="4">
        <v>47.520674478837151</v>
      </c>
      <c r="F86" s="2" t="s">
        <v>318</v>
      </c>
      <c r="G86">
        <v>58.1</v>
      </c>
      <c r="H86" s="3" t="str">
        <f>HYPERLINK(".\links\NR-LIGHT\ab-tri_asb-10514-NR-LIGHT.txt","CG13243")</f>
        <v>CG13243</v>
      </c>
      <c r="I86">
        <v>91</v>
      </c>
      <c r="J86" t="str">
        <f>HYPERLINK("http://www.ncbi.nlm.nih.gov/protein/28574212","gi|28574212")</f>
        <v>gi|28574212</v>
      </c>
    </row>
    <row r="87" spans="1:10" s="5" customFormat="1" x14ac:dyDescent="0.25">
      <c r="A87" s="4" t="s">
        <v>24</v>
      </c>
      <c r="B87" s="4">
        <v>1.7268907563025211</v>
      </c>
      <c r="C87" s="4">
        <v>1</v>
      </c>
      <c r="D87" s="4">
        <v>47.76523862866398</v>
      </c>
      <c r="E87" s="4">
        <v>81.868882644545593</v>
      </c>
      <c r="F87" s="2" t="s">
        <v>316</v>
      </c>
      <c r="G87">
        <v>103</v>
      </c>
      <c r="H87" s="3" t="str">
        <f>HYPERLINK(".\links\NR-LIGHT\ab-tri_asb-12735-NR-LIGHT.txt","vesicle coat complex COPII subunit SEC23")</f>
        <v>vesicle coat complex COPII subunit SEC23</v>
      </c>
      <c r="I87">
        <v>98</v>
      </c>
      <c r="J87" t="str">
        <f>HYPERLINK("http://www.ncbi.nlm.nih.gov/protein/289743311","gi|289743311")</f>
        <v>gi|289743311</v>
      </c>
    </row>
    <row r="88" spans="1:10" s="5" customFormat="1" x14ac:dyDescent="0.25">
      <c r="A88" s="4" t="s">
        <v>13</v>
      </c>
      <c r="B88" s="4">
        <v>1.7140575079872205</v>
      </c>
      <c r="C88" s="4">
        <v>1</v>
      </c>
      <c r="D88" s="4">
        <v>62.851016467871119</v>
      </c>
      <c r="E88" s="4">
        <v>106.78091498060188</v>
      </c>
      <c r="F88" s="2" t="s">
        <v>267</v>
      </c>
      <c r="G88"/>
      <c r="H88" s="3" t="str">
        <f>HYPERLINK(".\links\NR-LIGHT\ab-tri_asb-1126-NR-LIGHT.txt","unnamed protein product")</f>
        <v>unnamed protein product</v>
      </c>
      <c r="I88">
        <v>36</v>
      </c>
      <c r="J88" t="str">
        <f>HYPERLINK("http://www.ncbi.nlm.nih.gov/protein/194389890","gi|194389890")</f>
        <v>gi|194389890</v>
      </c>
    </row>
    <row r="89" spans="1:10" s="5" customFormat="1" x14ac:dyDescent="0.25">
      <c r="A89" s="4" t="s">
        <v>170</v>
      </c>
      <c r="B89" s="4">
        <v>1.7101449275362319</v>
      </c>
      <c r="C89" s="4">
        <v>1</v>
      </c>
      <c r="D89" s="4">
        <v>6.9657639666801634</v>
      </c>
      <c r="E89" s="4">
        <v>11.771303074539587</v>
      </c>
      <c r="F89" s="2" t="s">
        <v>267</v>
      </c>
      <c r="G89"/>
      <c r="H89" s="3" t="str">
        <f>HYPERLINK(".\links\NR-LIGHT\ab-tri_asb-39852-NR-LIGHT.txt","SJCHGC01974 protein")</f>
        <v>SJCHGC01974 protein</v>
      </c>
      <c r="I89">
        <v>76</v>
      </c>
      <c r="J89" t="str">
        <f>HYPERLINK("http://www.ncbi.nlm.nih.gov/protein/56757374","gi|56757374")</f>
        <v>gi|56757374</v>
      </c>
    </row>
    <row r="90" spans="1:10" s="5" customFormat="1" x14ac:dyDescent="0.25">
      <c r="A90" s="4" t="s">
        <v>23</v>
      </c>
      <c r="B90" s="4">
        <v>1.702842377260982</v>
      </c>
      <c r="C90" s="4">
        <v>1</v>
      </c>
      <c r="D90" s="4">
        <v>38.87763279754666</v>
      </c>
      <c r="E90" s="4">
        <v>65.649161910040661</v>
      </c>
      <c r="F90" s="2" t="s">
        <v>317</v>
      </c>
      <c r="G90">
        <v>75.8</v>
      </c>
      <c r="H90" s="3" t="str">
        <f>HYPERLINK(".\links\NR-LIGHT\ab-tri_asb-12724-NR-LIGHT.txt","comm3, isoform D")</f>
        <v>comm3, isoform D</v>
      </c>
      <c r="I90">
        <v>74</v>
      </c>
      <c r="J90" t="str">
        <f>HYPERLINK("http://www.ncbi.nlm.nih.gov/protein/28574903","gi|28574903")</f>
        <v>gi|28574903</v>
      </c>
    </row>
    <row r="91" spans="1:10" s="5" customFormat="1" x14ac:dyDescent="0.25">
      <c r="A91" s="4" t="s">
        <v>190</v>
      </c>
      <c r="B91" s="4">
        <v>1.7019668636760004</v>
      </c>
      <c r="C91" s="4">
        <v>6.5781047275947913E-10</v>
      </c>
      <c r="D91" s="4">
        <v>1036.7283446770005</v>
      </c>
      <c r="E91" s="4">
        <v>1748.6497622755958</v>
      </c>
      <c r="F91" s="2" t="s">
        <v>319</v>
      </c>
      <c r="G91">
        <v>24.1</v>
      </c>
      <c r="H91" s="3" t="str">
        <f>HYPERLINK(".\links\NR-LIGHT\ab-tri_asb-54628-NR-LIGHT.txt","hypothetical conserved protein")</f>
        <v>hypothetical conserved protein</v>
      </c>
      <c r="I91">
        <v>100</v>
      </c>
      <c r="J91" t="str">
        <f>HYPERLINK("http://www.ncbi.nlm.nih.gov/protein/289743227","gi|289743227")</f>
        <v>gi|289743227</v>
      </c>
    </row>
    <row r="92" spans="1:10" s="5" customFormat="1" x14ac:dyDescent="0.25">
      <c r="A92" s="4" t="s">
        <v>231</v>
      </c>
      <c r="B92" s="4">
        <v>1.6768292682926831</v>
      </c>
      <c r="C92" s="4">
        <v>1</v>
      </c>
      <c r="D92" s="4">
        <v>16.463948202607448</v>
      </c>
      <c r="E92" s="4">
        <v>27.363704838351762</v>
      </c>
      <c r="F92" s="2" t="s">
        <v>324</v>
      </c>
      <c r="G92">
        <v>94.5</v>
      </c>
      <c r="H92" s="3" t="str">
        <f>HYPERLINK(".\links\NR-LIGHT\ab-tri_asb-584-NR-LIGHT.txt","CG6734")</f>
        <v>CG6734</v>
      </c>
      <c r="I92">
        <v>100</v>
      </c>
      <c r="J92" t="str">
        <f>HYPERLINK("http://www.ncbi.nlm.nih.gov/protein/24583787","gi|24583787")</f>
        <v>gi|24583787</v>
      </c>
    </row>
    <row r="93" spans="1:10" s="5" customFormat="1" x14ac:dyDescent="0.25">
      <c r="A93" s="4" t="s">
        <v>16</v>
      </c>
      <c r="B93" s="4">
        <v>1.6760563380281692</v>
      </c>
      <c r="C93" s="4">
        <v>1</v>
      </c>
      <c r="D93" s="4">
        <v>7.1615305531390794</v>
      </c>
      <c r="E93" s="4">
        <v>11.824784687781476</v>
      </c>
      <c r="F93" s="2" t="s">
        <v>320</v>
      </c>
      <c r="G93">
        <v>91.8</v>
      </c>
      <c r="H93" s="3" t="str">
        <f>HYPERLINK(".\links\NR-LIGHT\ab-tri_asb-11540-NR-LIGHT.txt","CG6142")</f>
        <v>CG6142</v>
      </c>
      <c r="I93">
        <v>94</v>
      </c>
      <c r="J93" t="str">
        <f>HYPERLINK("http://www.ncbi.nlm.nih.gov/protein/24650267","gi|24650267")</f>
        <v>gi|24650267</v>
      </c>
    </row>
    <row r="94" spans="1:10" s="5" customFormat="1" x14ac:dyDescent="0.25">
      <c r="A94" s="4" t="s">
        <v>240</v>
      </c>
      <c r="B94" s="4">
        <v>1.674655787863335</v>
      </c>
      <c r="C94" s="4">
        <v>7.3884509621535699E-8</v>
      </c>
      <c r="D94" s="4">
        <v>196.9806967826851</v>
      </c>
      <c r="E94" s="4">
        <v>326.87266130590683</v>
      </c>
      <c r="F94" s="2" t="s">
        <v>322</v>
      </c>
      <c r="G94">
        <v>96.1</v>
      </c>
      <c r="H94" s="3" t="str">
        <f>HYPERLINK(".\links\NR-LIGHT\ab-tri_asb-6833-NR-LIGHT.txt","death-associated protein 1")</f>
        <v>death-associated protein 1</v>
      </c>
      <c r="I94">
        <v>100</v>
      </c>
      <c r="J94" t="str">
        <f>HYPERLINK("http://www.ncbi.nlm.nih.gov/protein/289740609","gi|289740609")</f>
        <v>gi|289740609</v>
      </c>
    </row>
    <row r="95" spans="1:10" s="5" customFormat="1" x14ac:dyDescent="0.25">
      <c r="A95" s="4" t="s">
        <v>234</v>
      </c>
      <c r="B95" s="4">
        <v>1.6696428571428572</v>
      </c>
      <c r="C95" s="4">
        <v>1</v>
      </c>
      <c r="D95" s="4">
        <v>11.291590341272457</v>
      </c>
      <c r="E95" s="4">
        <v>18.621230045706739</v>
      </c>
      <c r="F95" s="2" t="s">
        <v>267</v>
      </c>
      <c r="G95"/>
      <c r="H95" s="3" t="str">
        <f>HYPERLINK(".\links\NR-LIGHT\ab-tri_asb-5989-NR-LIGHT.txt","similar to SET domain and mariner transposase fusion")</f>
        <v>similar to SET domain and mariner transposase fusion</v>
      </c>
      <c r="I95">
        <v>26</v>
      </c>
      <c r="J95" t="str">
        <f>HYPERLINK("http://www.ncbi.nlm.nih.gov/protein/221109126","gi|221109126")</f>
        <v>gi|221109126</v>
      </c>
    </row>
    <row r="96" spans="1:10" s="5" customFormat="1" x14ac:dyDescent="0.25">
      <c r="A96" s="4" t="s">
        <v>89</v>
      </c>
      <c r="B96" s="4">
        <v>1.6675392670157068</v>
      </c>
      <c r="C96" s="4">
        <v>1</v>
      </c>
      <c r="D96" s="4">
        <v>38.352283380701856</v>
      </c>
      <c r="E96" s="4">
        <v>63.43004192563324</v>
      </c>
      <c r="F96" s="2" t="s">
        <v>323</v>
      </c>
      <c r="G96">
        <v>93.3</v>
      </c>
      <c r="H96" s="3" t="str">
        <f>HYPERLINK(".\links\NR-LIGHT\ab-tri_asb-2264-NR-LIGHT.txt","CG5002")</f>
        <v>CG5002</v>
      </c>
      <c r="I96">
        <v>99</v>
      </c>
      <c r="J96" t="str">
        <f>HYPERLINK("http://www.ncbi.nlm.nih.gov/protein/19922482","gi|19922482")</f>
        <v>gi|19922482</v>
      </c>
    </row>
    <row r="97" spans="1:10" s="5" customFormat="1" x14ac:dyDescent="0.25">
      <c r="A97" s="4" t="s">
        <v>70</v>
      </c>
      <c r="B97" s="4">
        <v>1.6451612903225805</v>
      </c>
      <c r="C97" s="4">
        <v>1</v>
      </c>
      <c r="D97" s="4">
        <v>9.3750987975083611</v>
      </c>
      <c r="E97" s="4">
        <v>15.233451037639465</v>
      </c>
      <c r="F97" s="2" t="s">
        <v>267</v>
      </c>
      <c r="G97"/>
      <c r="H97" s="3" t="str">
        <f>HYPERLINK(".\links\NR-LIGHT\ab-tri_asb-20051-NR-LIGHT.txt","NADH dehydrogenase subunit 6")</f>
        <v>NADH dehydrogenase subunit 6</v>
      </c>
      <c r="I97">
        <v>47</v>
      </c>
      <c r="J97" t="str">
        <f>HYPERLINK("http://www.ncbi.nlm.nih.gov/protein/295856811","gi|295856811")</f>
        <v>gi|295856811</v>
      </c>
    </row>
    <row r="98" spans="1:10" s="5" customFormat="1" x14ac:dyDescent="0.25">
      <c r="A98" s="4" t="s">
        <v>92</v>
      </c>
      <c r="B98" s="4">
        <v>1.6439114391143912</v>
      </c>
      <c r="C98" s="4">
        <v>2.2524917810962108E-5</v>
      </c>
      <c r="D98" s="4">
        <v>163.2863527935439</v>
      </c>
      <c r="E98" s="4">
        <v>266.11864432218385</v>
      </c>
      <c r="F98" s="2" t="s">
        <v>327</v>
      </c>
      <c r="G98">
        <v>100</v>
      </c>
      <c r="H98" s="3" t="str">
        <f>HYPERLINK(".\links\NR-LIGHT\ab-tri_asb-22820-NR-LIGHT.txt","salivary serine protease")</f>
        <v>salivary serine protease</v>
      </c>
      <c r="I98">
        <v>100</v>
      </c>
      <c r="J98" t="str">
        <f>HYPERLINK("http://www.ncbi.nlm.nih.gov/protein/289742867","gi|289742867")</f>
        <v>gi|289742867</v>
      </c>
    </row>
    <row r="99" spans="1:10" s="5" customFormat="1" x14ac:dyDescent="0.25">
      <c r="A99" s="4" t="s">
        <v>200</v>
      </c>
      <c r="B99" s="4">
        <v>1.6348314606741574</v>
      </c>
      <c r="C99" s="4">
        <v>1</v>
      </c>
      <c r="D99" s="4">
        <v>35.750363147427436</v>
      </c>
      <c r="E99" s="4">
        <v>57.947444442188939</v>
      </c>
      <c r="F99" s="2" t="s">
        <v>317</v>
      </c>
      <c r="G99">
        <v>21.2</v>
      </c>
      <c r="H99" s="3" t="str">
        <f>HYPERLINK(".\links\NR-LIGHT\ab-tri_asb-55759-NR-LIGHT.txt","comm2")</f>
        <v>comm2</v>
      </c>
      <c r="I99">
        <v>96</v>
      </c>
      <c r="J99" t="str">
        <f>HYPERLINK("http://www.ncbi.nlm.nih.gov/protein/28574901","gi|28574901")</f>
        <v>gi|28574901</v>
      </c>
    </row>
    <row r="100" spans="1:10" s="5" customFormat="1" x14ac:dyDescent="0.25">
      <c r="A100" s="4" t="s">
        <v>2</v>
      </c>
      <c r="B100" s="4">
        <v>1.6319702602230484</v>
      </c>
      <c r="C100" s="4">
        <v>1</v>
      </c>
      <c r="D100" s="4">
        <v>54.059214115834507</v>
      </c>
      <c r="E100" s="4">
        <v>87.413611640173031</v>
      </c>
      <c r="F100" s="2" t="s">
        <v>326</v>
      </c>
      <c r="G100">
        <v>90.5</v>
      </c>
      <c r="H100" s="3" t="str">
        <f>HYPERLINK(".\links\NR-LIGHT\ab-tri_asb-10057-NR-LIGHT.txt","anti-apoptotic BCl-2 family protein")</f>
        <v>anti-apoptotic BCl-2 family protein</v>
      </c>
      <c r="I100">
        <v>91</v>
      </c>
      <c r="J100" t="str">
        <f>HYPERLINK("http://www.ncbi.nlm.nih.gov/protein/289740445","gi|289740445")</f>
        <v>gi|289740445</v>
      </c>
    </row>
    <row r="101" spans="1:10" s="5" customFormat="1" x14ac:dyDescent="0.25">
      <c r="A101" s="4" t="s">
        <v>214</v>
      </c>
      <c r="B101" s="4">
        <v>1.6304321583775956</v>
      </c>
      <c r="C101" s="4">
        <v>0</v>
      </c>
      <c r="D101" s="4">
        <v>3328.5446455108199</v>
      </c>
      <c r="E101" s="4">
        <v>5378.255968270847</v>
      </c>
      <c r="F101" s="2" t="s">
        <v>325</v>
      </c>
      <c r="G101">
        <v>62.2</v>
      </c>
      <c r="H101" s="3" t="str">
        <f>HYPERLINK(".\links\NR-LIGHT\ab-tri_asb-56421-NR-LIGHT.txt","defensin")</f>
        <v>defensin</v>
      </c>
      <c r="I101">
        <v>93</v>
      </c>
      <c r="J101" t="str">
        <f>HYPERLINK("http://www.ncbi.nlm.nih.gov/protein/149728143","gi|149728143")</f>
        <v>gi|149728143</v>
      </c>
    </row>
    <row r="102" spans="1:10" s="5" customFormat="1" x14ac:dyDescent="0.25">
      <c r="A102" s="4" t="s">
        <v>107</v>
      </c>
      <c r="B102" s="4">
        <v>1.6280027453671928</v>
      </c>
      <c r="C102" s="4">
        <v>3.4392707260355593E-4</v>
      </c>
      <c r="D102" s="4">
        <v>146.40234328551423</v>
      </c>
      <c r="E102" s="4">
        <v>236.1700716173992</v>
      </c>
      <c r="F102" s="2" t="s">
        <v>328</v>
      </c>
      <c r="G102">
        <v>90.3</v>
      </c>
      <c r="H102" s="3" t="str">
        <f>HYPERLINK(".\links\NR-LIGHT\ab-tri_asb-25281-NR-LIGHT.txt","esterase Q")</f>
        <v>esterase Q</v>
      </c>
      <c r="I102">
        <v>98</v>
      </c>
      <c r="J102" t="str">
        <f>HYPERLINK("http://www.ncbi.nlm.nih.gov/protein/21358071","gi|21358071")</f>
        <v>gi|21358071</v>
      </c>
    </row>
    <row r="103" spans="1:10" s="5" customFormat="1" x14ac:dyDescent="0.25">
      <c r="A103" s="4" t="s">
        <v>219</v>
      </c>
      <c r="B103" s="4">
        <v>1.6253602305475503</v>
      </c>
      <c r="C103" s="4">
        <v>1</v>
      </c>
      <c r="D103" s="4">
        <v>34.841932545323033</v>
      </c>
      <c r="E103" s="4">
        <v>56.116197380235576</v>
      </c>
      <c r="F103" s="2" t="s">
        <v>330</v>
      </c>
      <c r="G103">
        <v>97.8</v>
      </c>
      <c r="H103" s="3" t="str">
        <f>HYPERLINK(".\links\NR-LIGHT\ab-tri_asb-56688-NR-LIGHT.txt","cOPII vesicle protein")</f>
        <v>cOPII vesicle protein</v>
      </c>
      <c r="I103">
        <v>100</v>
      </c>
      <c r="J103" t="str">
        <f>HYPERLINK("http://www.ncbi.nlm.nih.gov/protein/289741661","gi|289741661")</f>
        <v>gi|289741661</v>
      </c>
    </row>
    <row r="104" spans="1:10" s="5" customFormat="1" x14ac:dyDescent="0.25">
      <c r="A104" s="4" t="s">
        <v>85</v>
      </c>
      <c r="B104" s="4">
        <v>1.6190476190476188</v>
      </c>
      <c r="C104" s="4">
        <v>1</v>
      </c>
      <c r="D104" s="4">
        <v>23.180189334498696</v>
      </c>
      <c r="E104" s="4">
        <v>37.229415386380566</v>
      </c>
      <c r="F104" s="2" t="s">
        <v>331</v>
      </c>
      <c r="G104">
        <v>100</v>
      </c>
      <c r="H104" s="3" t="str">
        <f>HYPERLINK(".\links\NR-LIGHT\ab-tri_asb-21946-NR-LIGHT.txt","CG18549")</f>
        <v>CG18549</v>
      </c>
      <c r="I104">
        <v>100</v>
      </c>
      <c r="J104" t="str">
        <f>HYPERLINK("http://www.ncbi.nlm.nih.gov/protein/45550746","gi|45550746")</f>
        <v>gi|45550746</v>
      </c>
    </row>
    <row r="105" spans="1:10" s="5" customFormat="1" x14ac:dyDescent="0.25">
      <c r="A105" s="4" t="s">
        <v>209</v>
      </c>
      <c r="B105" s="4">
        <v>1.6171874999999998</v>
      </c>
      <c r="C105" s="4">
        <v>1</v>
      </c>
      <c r="D105" s="4">
        <v>25.684422816833312</v>
      </c>
      <c r="E105" s="4">
        <v>41.178923834039786</v>
      </c>
      <c r="F105" s="2" t="s">
        <v>329</v>
      </c>
      <c r="G105">
        <v>33.700000000000003</v>
      </c>
      <c r="H105" s="3" t="str">
        <f>HYPERLINK(".\links\NR-LIGHT\ab-tri_asb-56337-NR-LIGHT.txt","transposase")</f>
        <v>transposase</v>
      </c>
      <c r="I105">
        <v>52</v>
      </c>
      <c r="J105" t="str">
        <f>HYPERLINK("http://www.ncbi.nlm.nih.gov/protein/26986659","gi|26986659")</f>
        <v>gi|26986659</v>
      </c>
    </row>
    <row r="106" spans="1:10" s="5" customFormat="1" x14ac:dyDescent="0.25">
      <c r="A106" s="4" t="s">
        <v>245</v>
      </c>
      <c r="B106" s="4">
        <v>1.61671469740634</v>
      </c>
      <c r="C106" s="4">
        <v>1</v>
      </c>
      <c r="D106" s="4">
        <v>34.876605192180548</v>
      </c>
      <c r="E106" s="4">
        <v>55.797166595532424</v>
      </c>
      <c r="F106" s="2" t="s">
        <v>332</v>
      </c>
      <c r="G106">
        <v>107.9</v>
      </c>
      <c r="H106" s="3" t="str">
        <f>HYPERLINK(".\links\NR-LIGHT\ab-tri_asb-723-NR-LIGHT.txt","CG7456")</f>
        <v>CG7456</v>
      </c>
      <c r="I106">
        <v>100</v>
      </c>
      <c r="J106" t="str">
        <f>HYPERLINK("http://www.ncbi.nlm.nih.gov/protein/19921094","gi|19921094")</f>
        <v>gi|19921094</v>
      </c>
    </row>
    <row r="107" spans="1:10" s="5" customFormat="1" x14ac:dyDescent="0.25">
      <c r="A107" s="4" t="s">
        <v>113</v>
      </c>
      <c r="B107" s="4">
        <v>1.6</v>
      </c>
      <c r="C107" s="4">
        <v>1</v>
      </c>
      <c r="D107" s="4">
        <v>27.145043669004309</v>
      </c>
      <c r="E107" s="4">
        <v>42.972471556703624</v>
      </c>
      <c r="F107" s="2" t="s">
        <v>333</v>
      </c>
      <c r="G107">
        <v>100</v>
      </c>
      <c r="H107" s="3" t="str">
        <f>HYPERLINK(".\links\NR-LIGHT\ab-tri_asb-26409-NR-LIGHT.txt","dolichyl-phosphate beta-glucosyltransferase")</f>
        <v>dolichyl-phosphate beta-glucosyltransferase</v>
      </c>
      <c r="I107">
        <v>100</v>
      </c>
      <c r="J107" t="str">
        <f>HYPERLINK("http://www.ncbi.nlm.nih.gov/protein/289742247","gi|289742247")</f>
        <v>gi|289742247</v>
      </c>
    </row>
    <row r="108" spans="1:10" s="5" customFormat="1" x14ac:dyDescent="0.25">
      <c r="A108" s="4" t="s">
        <v>259</v>
      </c>
      <c r="B108" s="4">
        <v>1.5962732919254656</v>
      </c>
      <c r="C108" s="4">
        <v>1</v>
      </c>
      <c r="D108" s="4">
        <v>32.321828142143154</v>
      </c>
      <c r="E108" s="4">
        <v>51.12686142246379</v>
      </c>
      <c r="F108" s="2" t="s">
        <v>267</v>
      </c>
      <c r="G108"/>
      <c r="H108" s="3" t="str">
        <f>HYPERLINK(".\links\NR-LIGHT\ab-tri_asb-9394-NR-LIGHT.txt","hypothetical protein, conserved in Plasmodium species")</f>
        <v>hypothetical protein, conserved in Plasmodium species</v>
      </c>
      <c r="I108">
        <v>2</v>
      </c>
      <c r="J108" t="str">
        <f>HYPERLINK("http://www.ncbi.nlm.nih.gov/protein/221060628","gi|221060628")</f>
        <v>gi|221060628</v>
      </c>
    </row>
    <row r="109" spans="1:10" s="5" customFormat="1" x14ac:dyDescent="0.25">
      <c r="A109" s="4" t="s">
        <v>165</v>
      </c>
      <c r="B109" s="4">
        <v>1.5947786606129399</v>
      </c>
      <c r="C109" s="4">
        <v>0.68496294042109995</v>
      </c>
      <c r="D109" s="4">
        <v>88.450332929946967</v>
      </c>
      <c r="E109" s="4">
        <v>139.90261355257394</v>
      </c>
      <c r="F109" s="2" t="s">
        <v>267</v>
      </c>
      <c r="G109"/>
      <c r="H109" s="3" t="str">
        <f>HYPERLINK(".\links\NR-LIGHT\ab-tri_asb-38209-NR-LIGHT.txt","undecaprenylphosphate glucosephosphotransferase WchA (initial sugar transferase)")</f>
        <v>undecaprenylphosphate glucosephosphotransferase WchA (initial sugar transferase)</v>
      </c>
      <c r="I109">
        <v>13</v>
      </c>
      <c r="J109" t="str">
        <f>HYPERLINK("http://www.ncbi.nlm.nih.gov/protein/68642627","gi|68642627")</f>
        <v>gi|68642627</v>
      </c>
    </row>
    <row r="110" spans="1:10" s="5" customFormat="1" x14ac:dyDescent="0.25">
      <c r="A110" s="4" t="s">
        <v>167</v>
      </c>
      <c r="B110" s="4">
        <v>1.5889046941678522</v>
      </c>
      <c r="C110" s="4">
        <v>1</v>
      </c>
      <c r="D110" s="4">
        <v>70.62678943607888</v>
      </c>
      <c r="E110" s="4">
        <v>111.2439320122576</v>
      </c>
      <c r="F110" s="2" t="s">
        <v>336</v>
      </c>
      <c r="G110">
        <v>96.8</v>
      </c>
      <c r="H110" s="3" t="str">
        <f>HYPERLINK(".\links\NR-LIGHT\ab-tri_asb-388-NR-LIGHT.txt","lipid phosphate phosphatase")</f>
        <v>lipid phosphate phosphatase</v>
      </c>
      <c r="I110">
        <v>100</v>
      </c>
      <c r="J110" t="str">
        <f>HYPERLINK("http://www.ncbi.nlm.nih.gov/protein/289740455","gi|289740455")</f>
        <v>gi|289740455</v>
      </c>
    </row>
    <row r="111" spans="1:10" s="5" customFormat="1" x14ac:dyDescent="0.25">
      <c r="A111" s="4" t="s">
        <v>59</v>
      </c>
      <c r="B111" s="4">
        <v>1.5872340425531914</v>
      </c>
      <c r="C111" s="4">
        <v>1</v>
      </c>
      <c r="D111" s="4">
        <v>23.633690981061783</v>
      </c>
      <c r="E111" s="4">
        <v>37.107835800248658</v>
      </c>
      <c r="F111" s="2" t="s">
        <v>334</v>
      </c>
      <c r="G111">
        <v>94.7</v>
      </c>
      <c r="H111" s="3" t="str">
        <f>HYPERLINK(".\links\NR-LIGHT\ab-tri_asb-17612-NR-LIGHT.txt","putative UDP-galactose transporter")</f>
        <v>putative UDP-galactose transporter</v>
      </c>
      <c r="I111">
        <v>100</v>
      </c>
      <c r="J111" t="str">
        <f>HYPERLINK("http://www.ncbi.nlm.nih.gov/protein/289741051","gi|289741051")</f>
        <v>gi|289741051</v>
      </c>
    </row>
    <row r="112" spans="1:10" s="5" customFormat="1" x14ac:dyDescent="0.25">
      <c r="A112" s="4" t="s">
        <v>221</v>
      </c>
      <c r="B112" s="4">
        <v>1.5833967137389058</v>
      </c>
      <c r="C112" s="4">
        <v>0</v>
      </c>
      <c r="D112" s="4">
        <v>32358.381147337659</v>
      </c>
      <c r="E112" s="4">
        <v>50775.530416620895</v>
      </c>
      <c r="F112" s="2" t="s">
        <v>321</v>
      </c>
      <c r="G112">
        <v>100</v>
      </c>
      <c r="H112" s="3" t="str">
        <f>HYPERLINK(".\links\NR-LIGHT\ab-tri_asb-56741-NR-LIGHT.txt","Tsetse thrombin inhibitor; Flags: Precursor gi|3929543|gb|AAC79986.1| tsetse")</f>
        <v>Tsetse thrombin inhibitor; Flags: Precursor gi|3929543|gb|AAC79986.1| tsetse</v>
      </c>
      <c r="I112">
        <v>100</v>
      </c>
      <c r="J112" t="str">
        <f>HYPERLINK("http://www.ncbi.nlm.nih.gov/protein/74834603","gi|74834603")</f>
        <v>gi|74834603</v>
      </c>
    </row>
    <row r="113" spans="1:10" s="5" customFormat="1" x14ac:dyDescent="0.25">
      <c r="A113" s="4" t="s">
        <v>93</v>
      </c>
      <c r="B113" s="4">
        <v>1.5816326530612244</v>
      </c>
      <c r="C113" s="4">
        <v>1</v>
      </c>
      <c r="D113" s="4">
        <v>9.8614419090710168</v>
      </c>
      <c r="E113" s="4">
        <v>15.456463271298603</v>
      </c>
      <c r="F113" s="2" t="s">
        <v>267</v>
      </c>
      <c r="G113"/>
      <c r="H113" s="3" t="str">
        <f>HYPERLINK(".\links\NR-LIGHT\ab-tri_asb-23222-NR-LIGHT.txt","conserved Plasmodium protein, unknown function")</f>
        <v>conserved Plasmodium protein, unknown function</v>
      </c>
      <c r="I113">
        <v>3</v>
      </c>
      <c r="J113" t="str">
        <f>HYPERLINK("http://www.ncbi.nlm.nih.gov/protein/124505325","gi|124505325")</f>
        <v>gi|124505325</v>
      </c>
    </row>
    <row r="114" spans="1:10" s="5" customFormat="1" x14ac:dyDescent="0.25">
      <c r="A114" s="4" t="s">
        <v>184</v>
      </c>
      <c r="B114" s="4">
        <v>1.5639534883720929</v>
      </c>
      <c r="C114" s="4">
        <v>1</v>
      </c>
      <c r="D114" s="4">
        <v>17.240922064566924</v>
      </c>
      <c r="E114" s="4">
        <v>26.766305935919512</v>
      </c>
      <c r="F114" s="2" t="s">
        <v>337</v>
      </c>
      <c r="G114">
        <v>100</v>
      </c>
      <c r="H114" s="3" t="str">
        <f>HYPERLINK(".\links\NR-LIGHT\ab-tri_asb-5305-NR-LIGHT.txt","lactate dehydrogenase")</f>
        <v>lactate dehydrogenase</v>
      </c>
      <c r="I114">
        <v>100</v>
      </c>
      <c r="J114" t="str">
        <f>HYPERLINK("http://www.ncbi.nlm.nih.gov/protein/289740453","gi|289740453")</f>
        <v>gi|289740453</v>
      </c>
    </row>
    <row r="115" spans="1:10" s="5" customFormat="1" x14ac:dyDescent="0.25">
      <c r="A115" s="4" t="s">
        <v>157</v>
      </c>
      <c r="B115" s="4">
        <v>1.5484790874524714</v>
      </c>
      <c r="C115" s="4">
        <v>0.38392306459348768</v>
      </c>
      <c r="D115" s="4">
        <v>105.64544237484033</v>
      </c>
      <c r="E115" s="4">
        <v>162.20467939056084</v>
      </c>
      <c r="F115" s="2" t="s">
        <v>273</v>
      </c>
      <c r="G115">
        <v>96.5</v>
      </c>
      <c r="H115" s="3" t="str">
        <f>HYPERLINK(".\links\NR-LIGHT\ab-tri_asb-36270-NR-LIGHT.txt","MIP21412p")</f>
        <v>MIP21412p</v>
      </c>
      <c r="I115">
        <v>97</v>
      </c>
      <c r="J115" t="str">
        <f>HYPERLINK("http://www.ncbi.nlm.nih.gov/protein/296531482","gi|296531482")</f>
        <v>gi|296531482</v>
      </c>
    </row>
    <row r="116" spans="1:10" s="5" customFormat="1" x14ac:dyDescent="0.25">
      <c r="A116" s="4" t="s">
        <v>41</v>
      </c>
      <c r="B116" s="4">
        <v>1.5426833804493381</v>
      </c>
      <c r="C116" s="4">
        <v>0</v>
      </c>
      <c r="D116" s="4">
        <v>5401.0792356646316</v>
      </c>
      <c r="E116" s="4">
        <v>8257.2012535684407</v>
      </c>
      <c r="F116" s="2" t="s">
        <v>338</v>
      </c>
      <c r="G116">
        <v>100</v>
      </c>
      <c r="H116" s="3" t="str">
        <f>HYPERLINK(".\links\NR-LIGHT\ab-tri_asb-15228-NR-LIGHT.txt","putative salivary secreted peptide")</f>
        <v>putative salivary secreted peptide</v>
      </c>
      <c r="I116">
        <v>100</v>
      </c>
      <c r="J116" t="str">
        <f>HYPERLINK("http://www.ncbi.nlm.nih.gov/protein/289740193","gi|289740193")</f>
        <v>gi|289740193</v>
      </c>
    </row>
    <row r="117" spans="1:10" s="5" customFormat="1" x14ac:dyDescent="0.25">
      <c r="A117" s="4" t="s">
        <v>194</v>
      </c>
      <c r="B117" s="4">
        <v>1.5391969407265775</v>
      </c>
      <c r="C117" s="4">
        <v>0.53510555279528083</v>
      </c>
      <c r="D117" s="4">
        <v>105.09968173659443</v>
      </c>
      <c r="E117" s="4">
        <v>160.30256087301973</v>
      </c>
      <c r="F117" s="2" t="s">
        <v>342</v>
      </c>
      <c r="G117">
        <v>102.9</v>
      </c>
      <c r="H117" s="3" t="str">
        <f>HYPERLINK(".\links\NR-LIGHT\ab-tri_asb-55112-NR-LIGHT.txt","similar to defensin 1")</f>
        <v>similar to defensin 1</v>
      </c>
      <c r="I117">
        <v>30</v>
      </c>
      <c r="J117" t="str">
        <f>HYPERLINK("http://www.ncbi.nlm.nih.gov/protein/91090342","gi|91090342")</f>
        <v>gi|91090342</v>
      </c>
    </row>
    <row r="118" spans="1:10" s="5" customFormat="1" x14ac:dyDescent="0.25">
      <c r="A118" s="4" t="s">
        <v>155</v>
      </c>
      <c r="B118" s="4">
        <v>1.5347222222222223</v>
      </c>
      <c r="C118" s="4">
        <v>1</v>
      </c>
      <c r="D118" s="4">
        <v>14.454598121334479</v>
      </c>
      <c r="E118" s="4">
        <v>21.995736193771087</v>
      </c>
      <c r="F118" s="2" t="s">
        <v>267</v>
      </c>
      <c r="G118"/>
      <c r="H118" s="3" t="str">
        <f>HYPERLINK(".\links\NR-LIGHT\ab-tri_asb-35998-NR-LIGHT.txt","super cysteine rich protein")</f>
        <v>super cysteine rich protein</v>
      </c>
      <c r="I118">
        <v>67</v>
      </c>
      <c r="J118" t="str">
        <f>HYPERLINK("http://www.ncbi.nlm.nih.gov/protein/1480863","gi|1480863")</f>
        <v>gi|1480863</v>
      </c>
    </row>
    <row r="119" spans="1:10" s="5" customFormat="1" x14ac:dyDescent="0.25">
      <c r="A119" s="4" t="s">
        <v>21</v>
      </c>
      <c r="B119" s="4">
        <v>1.5303030303030303</v>
      </c>
      <c r="C119" s="4">
        <v>1</v>
      </c>
      <c r="D119" s="4">
        <v>66.296268439398872</v>
      </c>
      <c r="E119" s="4">
        <v>100.52511263141518</v>
      </c>
      <c r="F119" s="2" t="s">
        <v>339</v>
      </c>
      <c r="G119">
        <v>45.8</v>
      </c>
      <c r="H119" s="3" t="str">
        <f>HYPERLINK(".\links\NR-LIGHT\ab-tri_asb-1248-NR-LIGHT.txt","CG14960")</f>
        <v>CG14960</v>
      </c>
      <c r="I119">
        <v>76</v>
      </c>
      <c r="J119" t="str">
        <f>HYPERLINK("http://www.ncbi.nlm.nih.gov/protein/24656673","gi|24656673")</f>
        <v>gi|24656673</v>
      </c>
    </row>
    <row r="120" spans="1:10" s="5" customFormat="1" x14ac:dyDescent="0.25">
      <c r="A120" s="4" t="s">
        <v>123</v>
      </c>
      <c r="B120" s="4">
        <v>1.5270655270655271</v>
      </c>
      <c r="C120" s="4">
        <v>1</v>
      </c>
      <c r="D120" s="4">
        <v>35.308064394308417</v>
      </c>
      <c r="E120" s="4">
        <v>53.382074689498722</v>
      </c>
      <c r="F120" s="2" t="s">
        <v>340</v>
      </c>
      <c r="G120">
        <v>102.5</v>
      </c>
      <c r="H120" s="3" t="str">
        <f>HYPERLINK(".\links\NR-LIGHT\ab-tri_asb-28056-NR-LIGHT.txt","CG4330")</f>
        <v>CG4330</v>
      </c>
      <c r="I120">
        <v>93</v>
      </c>
      <c r="J120" t="str">
        <f>HYPERLINK("http://www.ncbi.nlm.nih.gov/protein/24641682","gi|24641682")</f>
        <v>gi|24641682</v>
      </c>
    </row>
    <row r="121" spans="1:10" s="5" customFormat="1" x14ac:dyDescent="0.25">
      <c r="A121" s="4" t="s">
        <v>227</v>
      </c>
      <c r="B121" s="4">
        <v>1.5183486238532111</v>
      </c>
      <c r="C121" s="4">
        <v>1</v>
      </c>
      <c r="D121" s="4">
        <v>43.831781477644711</v>
      </c>
      <c r="E121" s="4">
        <v>65.853620419151724</v>
      </c>
      <c r="F121" s="2" t="s">
        <v>267</v>
      </c>
      <c r="G121"/>
      <c r="H121" s="3" t="str">
        <f>HYPERLINK(".\links\NR-LIGHT\ab-tri_asb-57717-NR-LIGHT.txt","PDZ and LIM domain protein 7")</f>
        <v>PDZ and LIM domain protein 7</v>
      </c>
      <c r="I121">
        <v>11</v>
      </c>
      <c r="J121" t="str">
        <f>HYPERLINK("http://www.ncbi.nlm.nih.gov/protein/347800657","gi|347800657")</f>
        <v>gi|347800657</v>
      </c>
    </row>
    <row r="122" spans="1:10" s="5" customFormat="1" x14ac:dyDescent="0.25">
      <c r="A122" s="4" t="s">
        <v>79</v>
      </c>
      <c r="B122" s="4">
        <v>1.517241379310345</v>
      </c>
      <c r="C122" s="4">
        <v>1</v>
      </c>
      <c r="D122" s="4">
        <v>2.9552797138516196</v>
      </c>
      <c r="E122" s="4">
        <v>4.3698087790031508</v>
      </c>
      <c r="F122" s="2" t="s">
        <v>267</v>
      </c>
      <c r="G122"/>
      <c r="H122" s="3" t="str">
        <f>HYPERLINK(".\links\NR-LIGHT\ab-tri_asb-21207-NR-LIGHT.txt","hypothetical protein EschWDRAFT_4351")</f>
        <v>hypothetical protein EschWDRAFT_4351</v>
      </c>
      <c r="I122">
        <v>68</v>
      </c>
      <c r="J122" t="str">
        <f>HYPERLINK("http://www.ncbi.nlm.nih.gov/protein/307315068","gi|307315068")</f>
        <v>gi|307315068</v>
      </c>
    </row>
    <row r="123" spans="1:10" s="5" customFormat="1" x14ac:dyDescent="0.25">
      <c r="A123" s="4" t="s">
        <v>96</v>
      </c>
      <c r="B123" s="4">
        <v>1.5151515151515151</v>
      </c>
      <c r="C123" s="4">
        <v>1</v>
      </c>
      <c r="D123" s="4">
        <v>9.9470544270645753</v>
      </c>
      <c r="E123" s="4">
        <v>14.970805330093958</v>
      </c>
      <c r="F123" s="2" t="s">
        <v>267</v>
      </c>
      <c r="G123"/>
      <c r="H123" s="3" t="str">
        <f>HYPERLINK(".\links\NR-LIGHT\ab-tri_asb-23653-NR-LIGHT.txt","zinc finger protein transcription factor lame duck, putative")</f>
        <v>zinc finger protein transcription factor lame duck, putative</v>
      </c>
      <c r="I123">
        <v>4</v>
      </c>
      <c r="J123" t="str">
        <f>HYPERLINK("http://www.ncbi.nlm.nih.gov/protein/242017859","gi|242017859")</f>
        <v>gi|242017859</v>
      </c>
    </row>
    <row r="124" spans="1:10" s="5" customFormat="1" x14ac:dyDescent="0.25">
      <c r="A124" s="4" t="s">
        <v>212</v>
      </c>
      <c r="B124" s="4">
        <v>1.5112262521588946</v>
      </c>
      <c r="C124" s="4">
        <v>0.42614330100086639</v>
      </c>
      <c r="D124" s="4">
        <v>116.34999509647508</v>
      </c>
      <c r="E124" s="4">
        <v>174.18108031389113</v>
      </c>
      <c r="F124" s="2" t="s">
        <v>341</v>
      </c>
      <c r="G124">
        <v>26</v>
      </c>
      <c r="H124" s="3" t="str">
        <f>HYPERLINK(".\links\NR-LIGHT\ab-tri_asb-56378-NR-LIGHT.txt","putative trypanosomal transcript")</f>
        <v>putative trypanosomal transcript</v>
      </c>
      <c r="I124">
        <v>100</v>
      </c>
      <c r="J124" t="str">
        <f>HYPERLINK("http://www.ncbi.nlm.nih.gov/protein/289724650","gi|289724650")</f>
        <v>gi|289724650</v>
      </c>
    </row>
    <row r="125" spans="1:10" s="5" customFormat="1" x14ac:dyDescent="0.25">
      <c r="A125" s="4" t="s">
        <v>172</v>
      </c>
      <c r="B125" s="4">
        <v>1.5052631578947369</v>
      </c>
      <c r="C125" s="4">
        <v>1</v>
      </c>
      <c r="D125" s="4">
        <v>9.5093484222936837</v>
      </c>
      <c r="E125" s="4">
        <v>14.215463856126567</v>
      </c>
      <c r="F125" s="2" t="s">
        <v>267</v>
      </c>
      <c r="G125"/>
      <c r="H125" s="3" t="str">
        <f>HYPERLINK(".\links\NR-LIGHT\ab-tri_asb-42590-NR-LIGHT.txt","conserved hypothetical protein")</f>
        <v>conserved hypothetical protein</v>
      </c>
      <c r="I125">
        <v>12</v>
      </c>
      <c r="J125" t="str">
        <f>HYPERLINK("http://www.ncbi.nlm.nih.gov/protein/295840005","gi|295840005")</f>
        <v>gi|295840005</v>
      </c>
    </row>
    <row r="126" spans="1:10" s="5" customFormat="1" x14ac:dyDescent="0.25">
      <c r="A126" s="4" t="s">
        <v>67</v>
      </c>
      <c r="B126" s="4">
        <v>1.5050081952285557</v>
      </c>
      <c r="C126" s="4">
        <v>4.7667425562281096E-11</v>
      </c>
      <c r="D126" s="4">
        <v>551.61711789681419</v>
      </c>
      <c r="E126" s="4">
        <v>822.64775127991606</v>
      </c>
      <c r="F126" s="2" t="s">
        <v>343</v>
      </c>
      <c r="G126">
        <v>93</v>
      </c>
      <c r="H126" s="3" t="str">
        <f>HYPERLINK(".\links\NR-LIGHT\ab-tri_asb-1976-NR-LIGHT.txt","aquaporin")</f>
        <v>aquaporin</v>
      </c>
      <c r="I126">
        <v>100</v>
      </c>
      <c r="J126" t="str">
        <f>HYPERLINK("http://www.ncbi.nlm.nih.gov/protein/289742607","gi|289742607")</f>
        <v>gi|289742607</v>
      </c>
    </row>
    <row r="127" spans="1:10" s="5" customFormat="1" x14ac:dyDescent="0.25">
      <c r="A127" s="4" t="s">
        <v>164</v>
      </c>
      <c r="B127" s="4">
        <v>1.5027932960893855</v>
      </c>
      <c r="C127" s="4">
        <v>1</v>
      </c>
      <c r="D127" s="4">
        <v>71.932174839595163</v>
      </c>
      <c r="E127" s="4">
        <v>107.13287143435136</v>
      </c>
      <c r="F127" s="2" t="s">
        <v>267</v>
      </c>
      <c r="G127"/>
      <c r="H127" s="3" t="str">
        <f>HYPERLINK(".\links\NR-LIGHT\ab-tri_asb-37939-NR-LIGHT.txt","ATP-binding cassette sub-family A member 12")</f>
        <v>ATP-binding cassette sub-family A member 12</v>
      </c>
      <c r="I127">
        <v>2</v>
      </c>
      <c r="J127" t="str">
        <f>HYPERLINK("http://www.ncbi.nlm.nih.gov/protein/326670776","gi|326670776")</f>
        <v>gi|326670776</v>
      </c>
    </row>
    <row r="128" spans="1:10" s="5" customFormat="1" x14ac:dyDescent="0.25">
      <c r="A128" s="4" t="s">
        <v>134</v>
      </c>
      <c r="B128" s="4">
        <v>1.4920993227990971</v>
      </c>
      <c r="C128" s="4">
        <v>1</v>
      </c>
      <c r="D128" s="4">
        <v>89.0056156067849</v>
      </c>
      <c r="E128" s="4">
        <v>131.56762136901858</v>
      </c>
      <c r="F128" s="2" t="s">
        <v>345</v>
      </c>
      <c r="G128">
        <v>100</v>
      </c>
      <c r="H128" s="3" t="str">
        <f>HYPERLINK(".\links\NR-LIGHT\ab-tri_asb-3076-NR-LIGHT.txt","signal peptide protease")</f>
        <v>signal peptide protease</v>
      </c>
      <c r="I128">
        <v>100</v>
      </c>
      <c r="J128" t="str">
        <f>HYPERLINK("http://www.ncbi.nlm.nih.gov/protein/289740747","gi|289740747")</f>
        <v>gi|289740747</v>
      </c>
    </row>
    <row r="129" spans="1:10" s="5" customFormat="1" x14ac:dyDescent="0.25">
      <c r="A129" s="4" t="s">
        <v>174</v>
      </c>
      <c r="B129" s="4">
        <v>1.4876566654006835</v>
      </c>
      <c r="C129" s="4">
        <v>4.9324154605123738E-6</v>
      </c>
      <c r="D129" s="4">
        <v>264.45345110079398</v>
      </c>
      <c r="E129" s="4">
        <v>389.95089221093673</v>
      </c>
      <c r="F129" s="2" t="s">
        <v>346</v>
      </c>
      <c r="G129">
        <v>100</v>
      </c>
      <c r="H129" s="3" t="str">
        <f>HYPERLINK(".\links\NR-LIGHT\ab-tri_asb-4578-NR-LIGHT.txt","glutathione S-transferase")</f>
        <v>glutathione S-transferase</v>
      </c>
      <c r="I129">
        <v>100</v>
      </c>
      <c r="J129" t="str">
        <f>HYPERLINK("http://www.ncbi.nlm.nih.gov/protein/289741899","gi|289741899")</f>
        <v>gi|289741899</v>
      </c>
    </row>
    <row r="130" spans="1:10" s="5" customFormat="1" x14ac:dyDescent="0.25">
      <c r="A130" s="4" t="s">
        <v>235</v>
      </c>
      <c r="B130" s="4">
        <v>1.4873140857392826</v>
      </c>
      <c r="C130" s="4">
        <v>0.96349646761704988</v>
      </c>
      <c r="D130" s="4">
        <v>114.84274939301852</v>
      </c>
      <c r="E130" s="4">
        <v>169.19412951819888</v>
      </c>
      <c r="F130" s="2" t="s">
        <v>335</v>
      </c>
      <c r="G130">
        <v>100</v>
      </c>
      <c r="H130" s="3" t="str">
        <f>HYPERLINK(".\links\NR-LIGHT\ab-tri_asb-5993-NR-LIGHT.txt","sorbitol dehydrogenase")</f>
        <v>sorbitol dehydrogenase</v>
      </c>
      <c r="I130">
        <v>100</v>
      </c>
      <c r="J130" t="str">
        <f>HYPERLINK("http://www.ncbi.nlm.nih.gov/protein/289741353","gi|289741353")</f>
        <v>gi|289741353</v>
      </c>
    </row>
    <row r="131" spans="1:10" s="5" customFormat="1" x14ac:dyDescent="0.25">
      <c r="A131" s="4" t="s">
        <v>55</v>
      </c>
      <c r="B131" s="4">
        <v>1.4863157894736843</v>
      </c>
      <c r="C131" s="4">
        <v>9.4680854045847695E-7</v>
      </c>
      <c r="D131" s="4">
        <v>286.26392749868609</v>
      </c>
      <c r="E131" s="4">
        <v>421.68913496492343</v>
      </c>
      <c r="F131" s="2" t="s">
        <v>347</v>
      </c>
      <c r="G131">
        <v>100</v>
      </c>
      <c r="H131" s="3" t="str">
        <f>HYPERLINK(".\links\NR-LIGHT\ab-tri_asb-17274-NR-LIGHT.txt","putative membrane protein")</f>
        <v>putative membrane protein</v>
      </c>
      <c r="I131">
        <v>100</v>
      </c>
      <c r="J131" t="str">
        <f>HYPERLINK("http://www.ncbi.nlm.nih.gov/protein/289743905","gi|289743905")</f>
        <v>gi|289743905</v>
      </c>
    </row>
    <row r="132" spans="1:10" s="5" customFormat="1" x14ac:dyDescent="0.25">
      <c r="A132" s="4" t="s">
        <v>241</v>
      </c>
      <c r="B132" s="4">
        <v>1.4820143884892087</v>
      </c>
      <c r="C132" s="4">
        <v>1</v>
      </c>
      <c r="D132" s="4">
        <v>27.921845980874092</v>
      </c>
      <c r="E132" s="4">
        <v>41.061495955062071</v>
      </c>
      <c r="F132" s="2" t="s">
        <v>322</v>
      </c>
      <c r="G132">
        <v>38.4</v>
      </c>
      <c r="H132" s="3" t="str">
        <f>HYPERLINK(".\links\NR-LIGHT\ab-tri_asb-6834-NR-LIGHT.txt","death-associated protein 1")</f>
        <v>death-associated protein 1</v>
      </c>
      <c r="I132">
        <v>100</v>
      </c>
      <c r="J132" t="str">
        <f>HYPERLINK("http://www.ncbi.nlm.nih.gov/protein/289740609","gi|289740609")</f>
        <v>gi|289740609</v>
      </c>
    </row>
    <row r="133" spans="1:10" s="5" customFormat="1" x14ac:dyDescent="0.25">
      <c r="A133" s="4" t="s">
        <v>29</v>
      </c>
      <c r="B133" s="4">
        <v>1.4813084112149533</v>
      </c>
      <c r="C133" s="4">
        <v>1</v>
      </c>
      <c r="D133" s="4">
        <v>21.535635984182822</v>
      </c>
      <c r="E133" s="4">
        <v>31.555811723525011</v>
      </c>
      <c r="F133" s="2" t="s">
        <v>344</v>
      </c>
      <c r="G133">
        <v>108</v>
      </c>
      <c r="H133" s="3" t="str">
        <f>HYPERLINK(".\links\NR-LIGHT\ab-tri_asb-13937-NR-LIGHT.txt","CG14118")</f>
        <v>CG14118</v>
      </c>
      <c r="I133">
        <v>92</v>
      </c>
      <c r="J133" t="str">
        <f>HYPERLINK("http://www.ncbi.nlm.nih.gov/protein/24663560","gi|24663560")</f>
        <v>gi|24663560</v>
      </c>
    </row>
    <row r="134" spans="1:10" s="5" customFormat="1" x14ac:dyDescent="0.25">
      <c r="A134" s="4" t="s">
        <v>140</v>
      </c>
      <c r="B134" s="4">
        <v>1.4759358288770055</v>
      </c>
      <c r="C134" s="4">
        <v>1</v>
      </c>
      <c r="D134" s="4">
        <v>37.549750643211539</v>
      </c>
      <c r="E134" s="4">
        <v>54.904185223011758</v>
      </c>
      <c r="F134" s="2" t="s">
        <v>280</v>
      </c>
      <c r="G134">
        <v>100</v>
      </c>
      <c r="H134" s="3" t="str">
        <f>HYPERLINK(".\links\NR-LIGHT\ab-tri_asb-31712-NR-LIGHT.txt","hypothetical conserved protein")</f>
        <v>hypothetical conserved protein</v>
      </c>
      <c r="I134">
        <v>100</v>
      </c>
      <c r="J134" t="str">
        <f>HYPERLINK("http://www.ncbi.nlm.nih.gov/protein/289724619","gi|289724619")</f>
        <v>gi|289724619</v>
      </c>
    </row>
    <row r="135" spans="1:10" s="5" customFormat="1" x14ac:dyDescent="0.25">
      <c r="A135" s="4" t="s">
        <v>87</v>
      </c>
      <c r="B135" s="4">
        <v>1.4732283464566929</v>
      </c>
      <c r="C135" s="4">
        <v>1.4681567073182578E-9</v>
      </c>
      <c r="D135" s="4">
        <v>382.7419147228303</v>
      </c>
      <c r="E135" s="4">
        <v>558.81297129351174</v>
      </c>
      <c r="F135" s="2" t="s">
        <v>280</v>
      </c>
      <c r="G135">
        <v>100</v>
      </c>
      <c r="H135" s="3" t="str">
        <f>HYPERLINK(".\links\NR-LIGHT\ab-tri_asb-22497-NR-LIGHT.txt","hypothetical conserved protein")</f>
        <v>hypothetical conserved protein</v>
      </c>
      <c r="I135">
        <v>100</v>
      </c>
      <c r="J135" t="str">
        <f>HYPERLINK("http://www.ncbi.nlm.nih.gov/protein/289739839","gi|289739839")</f>
        <v>gi|289739839</v>
      </c>
    </row>
    <row r="136" spans="1:10" s="5" customFormat="1" x14ac:dyDescent="0.25">
      <c r="A136" s="4" t="s">
        <v>191</v>
      </c>
      <c r="B136" s="4">
        <v>1.4549180327868854</v>
      </c>
      <c r="C136" s="4">
        <v>1</v>
      </c>
      <c r="D136" s="4">
        <v>24.556374955414938</v>
      </c>
      <c r="E136" s="4">
        <v>35.350637158328716</v>
      </c>
      <c r="F136" s="2" t="s">
        <v>267</v>
      </c>
      <c r="G136"/>
      <c r="H136" s="3" t="str">
        <f>HYPERLINK(".\links\NR-LIGHT\ab-tri_asb-5470-NR-LIGHT.txt","protein DBF4 homolog A isoform 2")</f>
        <v>protein DBF4 homolog A isoform 2</v>
      </c>
      <c r="I136">
        <v>13</v>
      </c>
      <c r="J136" t="str">
        <f>HYPERLINK("http://www.ncbi.nlm.nih.gov/protein/300192925","gi|300192925")</f>
        <v>gi|300192925</v>
      </c>
    </row>
    <row r="137" spans="1:10" s="5" customFormat="1" x14ac:dyDescent="0.25">
      <c r="A137" s="4" t="s">
        <v>90</v>
      </c>
      <c r="B137" s="4">
        <v>1.4541062801932367</v>
      </c>
      <c r="C137" s="4">
        <v>1</v>
      </c>
      <c r="D137" s="4">
        <v>41.556636182755483</v>
      </c>
      <c r="E137" s="4">
        <v>59.939099959565468</v>
      </c>
      <c r="F137" s="2" t="s">
        <v>348</v>
      </c>
      <c r="G137">
        <v>103.1</v>
      </c>
      <c r="H137" s="3" t="str">
        <f>HYPERLINK(".\links\NR-LIGHT\ab-tri_asb-2277-NR-LIGHT.txt","putative alpha/beta hydrolase")</f>
        <v>putative alpha/beta hydrolase</v>
      </c>
      <c r="I137">
        <v>97</v>
      </c>
      <c r="J137" t="str">
        <f>HYPERLINK("http://www.ncbi.nlm.nih.gov/protein/289740983","gi|289740983")</f>
        <v>gi|289740983</v>
      </c>
    </row>
    <row r="138" spans="1:10" s="5" customFormat="1" x14ac:dyDescent="0.25">
      <c r="A138" s="4" t="s">
        <v>115</v>
      </c>
      <c r="B138" s="4">
        <v>1.4370932754880694</v>
      </c>
      <c r="C138" s="4">
        <v>1</v>
      </c>
      <c r="D138" s="4">
        <v>92.632221892619967</v>
      </c>
      <c r="E138" s="4">
        <v>131.91216507905924</v>
      </c>
      <c r="F138" s="2" t="s">
        <v>267</v>
      </c>
      <c r="G138"/>
      <c r="H138" s="3" t="str">
        <f>HYPERLINK(".\links\NR-LIGHT\ab-tri_asb-26712-NR-LIGHT.txt","conserved Plasmodium protein, unknown function")</f>
        <v>conserved Plasmodium protein, unknown function</v>
      </c>
      <c r="I138">
        <v>31</v>
      </c>
      <c r="J138" t="str">
        <f>HYPERLINK("http://www.ncbi.nlm.nih.gov/protein/124506773","gi|124506773")</f>
        <v>gi|124506773</v>
      </c>
    </row>
    <row r="139" spans="1:10" s="5" customFormat="1" x14ac:dyDescent="0.25">
      <c r="A139" s="4" t="s">
        <v>19</v>
      </c>
      <c r="B139" s="4">
        <v>1.4352941176470588</v>
      </c>
      <c r="C139" s="4">
        <v>1</v>
      </c>
      <c r="D139" s="4">
        <v>25.579142185185145</v>
      </c>
      <c r="E139" s="4">
        <v>36.417468886856845</v>
      </c>
      <c r="F139" s="2" t="s">
        <v>349</v>
      </c>
      <c r="G139">
        <v>50.6</v>
      </c>
      <c r="H139" s="3" t="str">
        <f>HYPERLINK(".\links\NR-LIGHT\ab-tri_asb-12-NR-LIGHT.txt","Na")</f>
        <v>Na</v>
      </c>
      <c r="I139">
        <v>51</v>
      </c>
      <c r="J139" t="str">
        <f>HYPERLINK("http://www.ncbi.nlm.nih.gov/protein/24649169","gi|24649169")</f>
        <v>gi|24649169</v>
      </c>
    </row>
    <row r="140" spans="1:10" s="5" customFormat="1" x14ac:dyDescent="0.25">
      <c r="A140" s="4" t="s">
        <v>229</v>
      </c>
      <c r="B140" s="4">
        <v>1.4262672811059909</v>
      </c>
      <c r="C140" s="4">
        <v>1</v>
      </c>
      <c r="D140" s="4">
        <v>43.580327595844388</v>
      </c>
      <c r="E140" s="4">
        <v>61.638090414284349</v>
      </c>
      <c r="F140" s="2" t="s">
        <v>350</v>
      </c>
      <c r="G140">
        <v>21</v>
      </c>
      <c r="H140" s="3" t="str">
        <f>HYPERLINK(".\links\NR-LIGHT\ab-tri_asb-57918-NR-LIGHT.txt","tektin A")</f>
        <v>tektin A</v>
      </c>
      <c r="I140">
        <v>85</v>
      </c>
      <c r="J140" t="str">
        <f>HYPERLINK("http://www.ncbi.nlm.nih.gov/protein/17737425","gi|17737425")</f>
        <v>gi|17737425</v>
      </c>
    </row>
    <row r="141" spans="1:10" s="5" customFormat="1" x14ac:dyDescent="0.25">
      <c r="A141" s="4" t="s">
        <v>192</v>
      </c>
      <c r="B141" s="4">
        <v>1.4256177508825012</v>
      </c>
      <c r="C141" s="4">
        <v>1.7247574738583626E-2</v>
      </c>
      <c r="D141" s="4">
        <v>199.19025447665777</v>
      </c>
      <c r="E141" s="4">
        <v>281.3871509021734</v>
      </c>
      <c r="F141" s="2" t="s">
        <v>351</v>
      </c>
      <c r="G141">
        <v>97.6</v>
      </c>
      <c r="H141" s="3" t="str">
        <f>HYPERLINK(".\links\NR-LIGHT\ab-tri_asb-54736-NR-LIGHT.txt","CG30104, isoform A")</f>
        <v>CG30104, isoform A</v>
      </c>
      <c r="I141">
        <v>97</v>
      </c>
      <c r="J141" t="str">
        <f>HYPERLINK("http://www.ncbi.nlm.nih.gov/protein/19922446","gi|19922446")</f>
        <v>gi|19922446</v>
      </c>
    </row>
    <row r="142" spans="1:10" s="5" customFormat="1" x14ac:dyDescent="0.25">
      <c r="A142" s="4" t="s">
        <v>146</v>
      </c>
      <c r="B142" s="4">
        <v>1.42</v>
      </c>
      <c r="C142" s="4">
        <v>1</v>
      </c>
      <c r="D142" s="4">
        <v>10.03401714247976</v>
      </c>
      <c r="E142" s="4">
        <v>14.162349011555442</v>
      </c>
      <c r="F142" s="2" t="s">
        <v>267</v>
      </c>
      <c r="G142"/>
      <c r="H142" s="3" t="str">
        <f>HYPERLINK(".\links\NR-LIGHT\ab-tri_asb-33316-NR-LIGHT.txt","immunoglobulin gamma 1 heavy chain variable region")</f>
        <v>immunoglobulin gamma 1 heavy chain variable region</v>
      </c>
      <c r="I142">
        <v>43</v>
      </c>
      <c r="J142" t="str">
        <f>HYPERLINK("http://www.ncbi.nlm.nih.gov/protein/304562608","gi|304562608")</f>
        <v>gi|304562608</v>
      </c>
    </row>
    <row r="143" spans="1:10" s="5" customFormat="1" x14ac:dyDescent="0.25">
      <c r="A143" s="4" t="s">
        <v>152</v>
      </c>
      <c r="B143" s="4">
        <v>1.4128588758592802</v>
      </c>
      <c r="C143" s="4">
        <v>1.283148169665127E-3</v>
      </c>
      <c r="D143" s="4">
        <v>248.39761955544282</v>
      </c>
      <c r="E143" s="4">
        <v>347.86131479450461</v>
      </c>
      <c r="F143" s="2" t="s">
        <v>267</v>
      </c>
      <c r="G143"/>
      <c r="H143" s="3" t="str">
        <f>HYPERLINK(".\links\NR-LIGHT\ab-tri_asb-34471-NR-LIGHT.txt","predicted protein")</f>
        <v>predicted protein</v>
      </c>
      <c r="I143">
        <v>96</v>
      </c>
      <c r="J143" t="str">
        <f>HYPERLINK("http://www.ncbi.nlm.nih.gov/protein/297832456","gi|297832456")</f>
        <v>gi|297832456</v>
      </c>
    </row>
    <row r="144" spans="1:10" s="5" customFormat="1" x14ac:dyDescent="0.25">
      <c r="A144" s="4" t="s">
        <v>81</v>
      </c>
      <c r="B144" s="4">
        <v>1.4093959731543624</v>
      </c>
      <c r="C144" s="4">
        <v>1</v>
      </c>
      <c r="D144" s="4">
        <v>14.973733839825451</v>
      </c>
      <c r="E144" s="4">
        <v>20.95471661818803</v>
      </c>
      <c r="F144" s="2" t="s">
        <v>352</v>
      </c>
      <c r="G144">
        <v>11.7</v>
      </c>
      <c r="H144" s="3" t="str">
        <f>HYPERLINK(".\links\NR-LIGHT\ab-tri_asb-21414-NR-LIGHT.txt","reverse transcriptase")</f>
        <v>reverse transcriptase</v>
      </c>
      <c r="I144">
        <v>12</v>
      </c>
      <c r="J144" t="str">
        <f>HYPERLINK("http://www.ncbi.nlm.nih.gov/protein/28569864","gi|28569864")</f>
        <v>gi|28569864</v>
      </c>
    </row>
    <row r="145" spans="1:10" s="5" customFormat="1" x14ac:dyDescent="0.25">
      <c r="A145" s="4" t="s">
        <v>260</v>
      </c>
      <c r="B145" s="4">
        <v>1.4090909090909089</v>
      </c>
      <c r="C145" s="4">
        <v>1</v>
      </c>
      <c r="D145" s="4">
        <v>8.8214090659653124</v>
      </c>
      <c r="E145" s="4">
        <v>12.32900510613001</v>
      </c>
      <c r="F145" s="2" t="s">
        <v>267</v>
      </c>
      <c r="G145"/>
      <c r="H145" s="3" t="str">
        <f>HYPERLINK(".\links\NR-LIGHT\ab-tri_asb-9462-NR-LIGHT.txt","putative O-antigen polymerase")</f>
        <v>putative O-antigen polymerase</v>
      </c>
      <c r="I145">
        <v>29</v>
      </c>
      <c r="J145" t="str">
        <f>HYPERLINK("http://www.ncbi.nlm.nih.gov/protein/77737734","gi|77737734")</f>
        <v>gi|77737734</v>
      </c>
    </row>
    <row r="146" spans="1:10" s="5" customFormat="1" x14ac:dyDescent="0.25">
      <c r="A146" s="4" t="s">
        <v>251</v>
      </c>
      <c r="B146" s="4">
        <v>1.398843930635838</v>
      </c>
      <c r="C146" s="4">
        <v>1</v>
      </c>
      <c r="D146" s="4">
        <v>17.337606191276802</v>
      </c>
      <c r="E146" s="4">
        <v>24.042952364775488</v>
      </c>
      <c r="F146" s="2" t="s">
        <v>267</v>
      </c>
      <c r="G146"/>
      <c r="H146" s="3" t="str">
        <f>HYPERLINK(".\links\NR-LIGHT\ab-tri_asb-8334-NR-LIGHT.txt","hypothetical protein SSAG_06535")</f>
        <v>hypothetical protein SSAG_06535</v>
      </c>
      <c r="I146">
        <v>92</v>
      </c>
      <c r="J146" t="str">
        <f>HYPERLINK("http://www.ncbi.nlm.nih.gov/protein/254386939","gi|254386939")</f>
        <v>gi|254386939</v>
      </c>
    </row>
    <row r="147" spans="1:10" s="5" customFormat="1" x14ac:dyDescent="0.25">
      <c r="A147" s="4" t="s">
        <v>35</v>
      </c>
      <c r="B147" s="4">
        <v>1.3826086956521739</v>
      </c>
      <c r="C147" s="4">
        <v>1</v>
      </c>
      <c r="D147" s="4">
        <v>23.150585005846718</v>
      </c>
      <c r="E147" s="4">
        <v>31.626920616938261</v>
      </c>
      <c r="F147" s="2" t="s">
        <v>267</v>
      </c>
      <c r="G147"/>
      <c r="H147" s="3" t="str">
        <f>HYPERLINK(".\links\NR-LIGHT\ab-tri_asb-14672-NR-LIGHT.txt","AGAP003439-PI")</f>
        <v>AGAP003439-PI</v>
      </c>
      <c r="I147">
        <v>11</v>
      </c>
      <c r="J147" t="str">
        <f>HYPERLINK("http://www.ncbi.nlm.nih.gov/protein/119112351","gi|119112351")</f>
        <v>gi|119112351</v>
      </c>
    </row>
    <row r="148" spans="1:10" s="5" customFormat="1" x14ac:dyDescent="0.25">
      <c r="A148" s="4" t="s">
        <v>76</v>
      </c>
      <c r="B148" s="4">
        <v>1.3809523809523809</v>
      </c>
      <c r="C148" s="4">
        <v>1</v>
      </c>
      <c r="D148" s="4">
        <v>33.773154553384934</v>
      </c>
      <c r="E148" s="4">
        <v>46.189802096075979</v>
      </c>
      <c r="F148" s="2" t="s">
        <v>353</v>
      </c>
      <c r="G148">
        <v>90.9</v>
      </c>
      <c r="H148" s="3" t="str">
        <f>HYPERLINK(".\links\NR-LIGHT\ab-tri_asb-20642-NR-LIGHT.txt","CG32369, isoform A")</f>
        <v>CG32369, isoform A</v>
      </c>
      <c r="I148">
        <v>96</v>
      </c>
      <c r="J148" t="str">
        <f>HYPERLINK("http://www.ncbi.nlm.nih.gov/protein/24660416","gi|24660416")</f>
        <v>gi|24660416</v>
      </c>
    </row>
    <row r="149" spans="1:10" s="5" customFormat="1" x14ac:dyDescent="0.25">
      <c r="A149" s="4" t="s">
        <v>110</v>
      </c>
      <c r="B149" s="4">
        <v>1.3364485981308409</v>
      </c>
      <c r="C149" s="4">
        <v>1</v>
      </c>
      <c r="D149" s="4">
        <v>32.285561840494317</v>
      </c>
      <c r="E149" s="4">
        <v>42.670303907889519</v>
      </c>
      <c r="F149" s="2" t="s">
        <v>354</v>
      </c>
      <c r="G149">
        <v>105.6</v>
      </c>
      <c r="H149" s="3" t="str">
        <f>HYPERLINK(".\links\NR-LIGHT\ab-tri_asb-25636-NR-LIGHT.txt","transport and golgi organization 13, isoform B")</f>
        <v>transport and golgi organization 13, isoform B</v>
      </c>
      <c r="I149">
        <v>99</v>
      </c>
      <c r="J149" t="str">
        <f>HYPERLINK("http://www.ncbi.nlm.nih.gov/protein/24641809","gi|24641809")</f>
        <v>gi|24641809</v>
      </c>
    </row>
    <row r="150" spans="1:10" s="5" customFormat="1" x14ac:dyDescent="0.25">
      <c r="A150" s="4" t="s">
        <v>137</v>
      </c>
      <c r="B150" s="4">
        <v>1.3217391304347825</v>
      </c>
      <c r="C150" s="4">
        <v>1</v>
      </c>
      <c r="D150" s="4">
        <v>11.587493074731446</v>
      </c>
      <c r="E150" s="4">
        <v>15.17190174051769</v>
      </c>
      <c r="F150" s="2" t="s">
        <v>267</v>
      </c>
      <c r="G150"/>
      <c r="H150" s="3" t="str">
        <f>HYPERLINK(".\links\NR-LIGHT\ab-tri_asb-31309-NR-LIGHT.txt","hypothetical protein LOC553492")</f>
        <v>hypothetical protein LOC553492</v>
      </c>
      <c r="I150">
        <v>3</v>
      </c>
      <c r="J150" t="str">
        <f>HYPERLINK("http://www.ncbi.nlm.nih.gov/protein/189519312","gi|189519312")</f>
        <v>gi|189519312</v>
      </c>
    </row>
    <row r="151" spans="1:10" s="5" customFormat="1" x14ac:dyDescent="0.25">
      <c r="A151" s="4" t="s">
        <v>125</v>
      </c>
      <c r="B151" s="4">
        <v>1.3125</v>
      </c>
      <c r="C151" s="4">
        <v>1</v>
      </c>
      <c r="D151" s="4">
        <v>4.7951039975813181</v>
      </c>
      <c r="E151" s="4">
        <v>6.2766194131746094</v>
      </c>
      <c r="F151" s="2" t="s">
        <v>267</v>
      </c>
      <c r="G151"/>
      <c r="H151" s="3" t="str">
        <f>HYPERLINK(".\links\NR-LIGHT\ab-tri_asb-28287-NR-LIGHT.txt","hypothetical protein, partial")</f>
        <v>hypothetical protein, partial</v>
      </c>
      <c r="I151">
        <v>29</v>
      </c>
      <c r="J151" t="str">
        <f>HYPERLINK("http://www.ncbi.nlm.nih.gov/protein/221105736","gi|221105736")</f>
        <v>gi|221105736</v>
      </c>
    </row>
    <row r="152" spans="1:10" s="5" customFormat="1" x14ac:dyDescent="0.25">
      <c r="A152" s="4" t="s">
        <v>154</v>
      </c>
      <c r="B152" s="4">
        <v>1.3043478260869565</v>
      </c>
      <c r="C152" s="4">
        <v>1</v>
      </c>
      <c r="D152" s="4">
        <v>34.701339312841526</v>
      </c>
      <c r="E152" s="4">
        <v>44.750082864155516</v>
      </c>
      <c r="F152" s="2" t="s">
        <v>323</v>
      </c>
      <c r="G152">
        <v>98</v>
      </c>
      <c r="H152" s="3" t="str">
        <f>HYPERLINK(".\links\NR-LIGHT\ab-tri_asb-35258-NR-LIGHT.txt","CG9717")</f>
        <v>CG9717</v>
      </c>
      <c r="I152">
        <v>97</v>
      </c>
      <c r="J152" t="str">
        <f>HYPERLINK("http://www.ncbi.nlm.nih.gov/protein/21358229","gi|21358229")</f>
        <v>gi|21358229</v>
      </c>
    </row>
    <row r="153" spans="1:10" s="5" customFormat="1" x14ac:dyDescent="0.25">
      <c r="A153" s="4" t="s">
        <v>97</v>
      </c>
      <c r="B153" s="4">
        <v>1.2923076923076924</v>
      </c>
      <c r="C153" s="4">
        <v>1</v>
      </c>
      <c r="D153" s="4">
        <v>6.5635661556465843</v>
      </c>
      <c r="E153" s="4">
        <v>8.3538279883829336</v>
      </c>
      <c r="F153" s="2" t="s">
        <v>267</v>
      </c>
      <c r="G153"/>
      <c r="H153" s="3" t="str">
        <f>HYPERLINK(".\links\NR-LIGHT\ab-tri_asb-23745-NR-LIGHT.txt","hypothetical protein DAPPUDRAFT_8207")</f>
        <v>hypothetical protein DAPPUDRAFT_8207</v>
      </c>
      <c r="I153">
        <v>44</v>
      </c>
      <c r="J153" t="str">
        <f>HYPERLINK("http://www.ncbi.nlm.nih.gov/protein/321455635","gi|321455635")</f>
        <v>gi|321455635</v>
      </c>
    </row>
    <row r="154" spans="1:10" s="5" customFormat="1" x14ac:dyDescent="0.25">
      <c r="A154" s="4" t="s">
        <v>218</v>
      </c>
      <c r="B154" s="4">
        <v>1.2902660040923706</v>
      </c>
      <c r="C154" s="4">
        <v>1.442422697343182E-2</v>
      </c>
      <c r="D154" s="4">
        <v>343.68676011596091</v>
      </c>
      <c r="E154" s="4">
        <v>439.41908070936887</v>
      </c>
      <c r="F154" s="2" t="s">
        <v>356</v>
      </c>
      <c r="G154">
        <v>101.4</v>
      </c>
      <c r="H154" s="3" t="str">
        <f>HYPERLINK(".\links\NR-LIGHT\ab-tri_asb-56632-NR-LIGHT.txt","CG13077")</f>
        <v>CG13077</v>
      </c>
      <c r="I154">
        <v>96</v>
      </c>
      <c r="J154" t="str">
        <f>HYPERLINK("http://www.ncbi.nlm.nih.gov/protein/19921552","gi|19921552")</f>
        <v>gi|19921552</v>
      </c>
    </row>
    <row r="155" spans="1:10" s="5" customFormat="1" x14ac:dyDescent="0.25">
      <c r="A155" s="4" t="s">
        <v>42</v>
      </c>
      <c r="B155" s="4">
        <v>1.2839506172839505</v>
      </c>
      <c r="C155" s="4">
        <v>1</v>
      </c>
      <c r="D155" s="4">
        <v>48.841688529980964</v>
      </c>
      <c r="E155" s="4">
        <v>62.135629893258987</v>
      </c>
      <c r="F155" s="2" t="s">
        <v>355</v>
      </c>
      <c r="G155">
        <v>103.3</v>
      </c>
      <c r="H155" s="3" t="str">
        <f>HYPERLINK(".\links\NR-LIGHT\ab-tri_asb-15456-NR-LIGHT.txt","SoxNeuro")</f>
        <v>SoxNeuro</v>
      </c>
      <c r="I155">
        <v>100</v>
      </c>
      <c r="J155" t="str">
        <f>HYPERLINK("http://www.ncbi.nlm.nih.gov/protein/17975569","gi|17975569")</f>
        <v>gi|17975569</v>
      </c>
    </row>
    <row r="156" spans="1:10" s="5" customFormat="1" x14ac:dyDescent="0.25">
      <c r="A156" s="4" t="s">
        <v>104</v>
      </c>
      <c r="B156" s="4">
        <v>1.2575757575757576</v>
      </c>
      <c r="C156" s="4">
        <v>1</v>
      </c>
      <c r="D156" s="4">
        <v>79.543876684394263</v>
      </c>
      <c r="E156" s="4">
        <v>99.157045858036113</v>
      </c>
      <c r="F156" s="2" t="s">
        <v>357</v>
      </c>
      <c r="G156">
        <v>100</v>
      </c>
      <c r="H156" s="3" t="str">
        <f>HYPERLINK(".\links\NR-LIGHT\ab-tri_asb-25091-NR-LIGHT.txt","hypothetical secreted peptide precursor")</f>
        <v>hypothetical secreted peptide precursor</v>
      </c>
      <c r="I156">
        <v>100</v>
      </c>
      <c r="J156" t="str">
        <f>HYPERLINK("http://www.ncbi.nlm.nih.gov/protein/289743783","gi|289743783")</f>
        <v>gi|289743783</v>
      </c>
    </row>
    <row r="157" spans="1:10" s="5" customFormat="1" x14ac:dyDescent="0.25">
      <c r="A157" s="4" t="s">
        <v>80</v>
      </c>
      <c r="B157" s="4">
        <v>1.2558139534883719</v>
      </c>
      <c r="C157" s="4">
        <v>1</v>
      </c>
      <c r="D157" s="4">
        <v>60.490724065477615</v>
      </c>
      <c r="E157" s="4">
        <v>75.236533117319112</v>
      </c>
      <c r="F157" s="2" t="s">
        <v>267</v>
      </c>
      <c r="G157"/>
      <c r="H157" s="3" t="str">
        <f>HYPERLINK(".\links\NR-LIGHT\ab-tri_asb-21258-NR-LIGHT.txt","similar to DNA-directed RNA polymerase, omega subunit family protein")</f>
        <v>similar to DNA-directed RNA polymerase, omega subunit family protein</v>
      </c>
      <c r="I157">
        <v>2</v>
      </c>
      <c r="J157" t="str">
        <f>HYPERLINK("http://www.ncbi.nlm.nih.gov/protein/221129496","gi|221129496")</f>
        <v>gi|221129496</v>
      </c>
    </row>
    <row r="158" spans="1:10" s="5" customFormat="1" x14ac:dyDescent="0.25">
      <c r="A158" s="4" t="s">
        <v>226</v>
      </c>
      <c r="B158" s="4">
        <v>1.2535211267605633</v>
      </c>
      <c r="C158" s="4">
        <v>1</v>
      </c>
      <c r="D158" s="4">
        <v>49.918480468103922</v>
      </c>
      <c r="E158" s="4">
        <v>62.036459499821973</v>
      </c>
      <c r="F158" s="2" t="s">
        <v>358</v>
      </c>
      <c r="G158">
        <v>50</v>
      </c>
      <c r="H158" s="3" t="str">
        <f>HYPERLINK(".\links\NR-LIGHT\ab-tri_asb-57422-NR-LIGHT.txt","proctolin receptor (CG6986) - fruit fly (Drosophila melanogaster)")</f>
        <v>proctolin receptor (CG6986) - fruit fly (Drosophila melanogaster)</v>
      </c>
      <c r="I158">
        <v>88</v>
      </c>
      <c r="J158" t="str">
        <f>HYPERLINK("http://www.ncbi.nlm.nih.gov/protein/60729632","gi|60729632")</f>
        <v>gi|60729632</v>
      </c>
    </row>
    <row r="159" spans="1:10" s="5" customFormat="1" x14ac:dyDescent="0.25">
      <c r="A159" s="4" t="s">
        <v>132</v>
      </c>
      <c r="B159" s="4">
        <v>1.2401372212692967</v>
      </c>
      <c r="C159" s="4">
        <v>1</v>
      </c>
      <c r="D159" s="4">
        <v>58.548538719432202</v>
      </c>
      <c r="E159" s="4">
        <v>71.999740780658058</v>
      </c>
      <c r="F159" s="2" t="s">
        <v>360</v>
      </c>
      <c r="G159">
        <v>100</v>
      </c>
      <c r="H159" s="3" t="str">
        <f>HYPERLINK(".\links\NR-LIGHT\ab-tri_asb-3028-NR-LIGHT.txt","dipeptidyl aminopeptidase")</f>
        <v>dipeptidyl aminopeptidase</v>
      </c>
      <c r="I159">
        <v>100</v>
      </c>
      <c r="J159" t="str">
        <f>HYPERLINK("http://www.ncbi.nlm.nih.gov/protein/289743583","gi|289743583")</f>
        <v>gi|289743583</v>
      </c>
    </row>
    <row r="160" spans="1:10" s="5" customFormat="1" x14ac:dyDescent="0.25">
      <c r="A160" s="4" t="s">
        <v>149</v>
      </c>
      <c r="B160" s="4">
        <v>1.233009708737864</v>
      </c>
      <c r="C160" s="4">
        <v>1</v>
      </c>
      <c r="D160" s="4">
        <v>10.380201858082831</v>
      </c>
      <c r="E160" s="4">
        <v>12.63261793365224</v>
      </c>
      <c r="F160" s="2" t="s">
        <v>267</v>
      </c>
      <c r="G160"/>
      <c r="H160" s="3" t="str">
        <f>HYPERLINK(".\links\NR-LIGHT\ab-tri_asb-33511-NR-LIGHT.txt","hypothetical protein")</f>
        <v>hypothetical protein</v>
      </c>
      <c r="I160">
        <v>53</v>
      </c>
      <c r="J160" t="str">
        <f>HYPERLINK("http://www.ncbi.nlm.nih.gov/protein/70927938","gi|70927938")</f>
        <v>gi|70927938</v>
      </c>
    </row>
    <row r="161" spans="1:10" s="5" customFormat="1" x14ac:dyDescent="0.25">
      <c r="A161" s="4" t="s">
        <v>88</v>
      </c>
      <c r="B161" s="4">
        <v>1.2321428571428572</v>
      </c>
      <c r="C161" s="4">
        <v>1</v>
      </c>
      <c r="D161" s="4">
        <v>5.5963811978057496</v>
      </c>
      <c r="E161" s="4">
        <v>6.8506640732391206</v>
      </c>
      <c r="F161" s="2" t="s">
        <v>359</v>
      </c>
      <c r="G161">
        <v>95.4</v>
      </c>
      <c r="H161" s="3" t="str">
        <f>HYPERLINK(".\links\NR-LIGHT\ab-tri_asb-22639-NR-LIGHT.txt","CG10924, isoform A")</f>
        <v>CG10924, isoform A</v>
      </c>
      <c r="I161">
        <v>95</v>
      </c>
      <c r="J161" t="str">
        <f>HYPERLINK("http://www.ncbi.nlm.nih.gov/protein/24655082","gi|24655082")</f>
        <v>gi|24655082</v>
      </c>
    </row>
    <row r="162" spans="1:10" s="5" customFormat="1" x14ac:dyDescent="0.25">
      <c r="A162" s="4" t="s">
        <v>17</v>
      </c>
      <c r="B162" s="4">
        <v>1.2295724565316808</v>
      </c>
      <c r="C162" s="4">
        <v>0</v>
      </c>
      <c r="D162" s="4">
        <v>10763.107390386553</v>
      </c>
      <c r="E162" s="4">
        <v>13115.010171265831</v>
      </c>
      <c r="F162" s="2" t="s">
        <v>361</v>
      </c>
      <c r="G162">
        <v>100</v>
      </c>
      <c r="H162" s="3" t="str">
        <f>HYPERLINK(".\links\NR-LIGHT\ab-tri_asb-11573-NR-LIGHT.txt","angiopoietin-like salivary protein")</f>
        <v>angiopoietin-like salivary protein</v>
      </c>
      <c r="I162">
        <v>100</v>
      </c>
      <c r="J162" t="str">
        <f>HYPERLINK("http://www.ncbi.nlm.nih.gov/protein/289741307","gi|289741307")</f>
        <v>gi|289741307</v>
      </c>
    </row>
    <row r="163" spans="1:10" s="5" customFormat="1" x14ac:dyDescent="0.25">
      <c r="A163" s="4" t="s">
        <v>213</v>
      </c>
      <c r="B163" s="4">
        <v>1.2291666666666667</v>
      </c>
      <c r="C163" s="4">
        <v>1</v>
      </c>
      <c r="D163" s="4">
        <v>9.6503886196151978</v>
      </c>
      <c r="E163" s="4">
        <v>11.748383870734019</v>
      </c>
      <c r="F163" s="2" t="s">
        <v>365</v>
      </c>
      <c r="G163">
        <v>85.2</v>
      </c>
      <c r="H163" s="3" t="str">
        <f>HYPERLINK(".\links\NR-LIGHT\ab-tri_asb-56395-NR-LIGHT.txt","CG30497, isoform A")</f>
        <v>CG30497, isoform A</v>
      </c>
      <c r="I163">
        <v>97</v>
      </c>
      <c r="J163" t="str">
        <f>HYPERLINK("http://www.ncbi.nlm.nih.gov/protein/23308611","gi|23308611")</f>
        <v>gi|23308611</v>
      </c>
    </row>
    <row r="164" spans="1:10" s="5" customFormat="1" x14ac:dyDescent="0.25">
      <c r="A164" s="4" t="s">
        <v>6</v>
      </c>
      <c r="B164" s="4">
        <v>1.2157291097760787</v>
      </c>
      <c r="C164" s="4">
        <v>1</v>
      </c>
      <c r="D164" s="4">
        <v>183.92595430000006</v>
      </c>
      <c r="E164" s="4">
        <v>221.58165666540731</v>
      </c>
      <c r="F164" s="2" t="s">
        <v>363</v>
      </c>
      <c r="G164">
        <v>117.4</v>
      </c>
      <c r="H164" s="3" t="str">
        <f>HYPERLINK(".\links\NR-LIGHT\ab-tri_asb-10790-NR-LIGHT.txt","nitric oxide synthase")</f>
        <v>nitric oxide synthase</v>
      </c>
      <c r="I164">
        <v>65</v>
      </c>
      <c r="J164" t="str">
        <f>HYPERLINK("http://www.ncbi.nlm.nih.gov/protein/6707649","gi|6707649")</f>
        <v>gi|6707649</v>
      </c>
    </row>
    <row r="165" spans="1:10" s="5" customFormat="1" x14ac:dyDescent="0.25">
      <c r="A165" s="4" t="s">
        <v>145</v>
      </c>
      <c r="B165" s="4">
        <v>1.2129337539432177</v>
      </c>
      <c r="C165" s="4">
        <v>1</v>
      </c>
      <c r="D165" s="4">
        <v>63.636553967871635</v>
      </c>
      <c r="E165" s="4">
        <v>76.518796365989004</v>
      </c>
      <c r="F165" s="2" t="s">
        <v>362</v>
      </c>
      <c r="G165">
        <v>95.2</v>
      </c>
      <c r="H165" s="3" t="str">
        <f>HYPERLINK(".\links\NR-LIGHT\ab-tri_asb-3330-NR-LIGHT.txt","inward rectifier K+ channel")</f>
        <v>inward rectifier K+ channel</v>
      </c>
      <c r="I165">
        <v>95</v>
      </c>
      <c r="J165" t="str">
        <f>HYPERLINK("http://www.ncbi.nlm.nih.gov/protein/289742199","gi|289742199")</f>
        <v>gi|289742199</v>
      </c>
    </row>
    <row r="166" spans="1:10" s="5" customFormat="1" x14ac:dyDescent="0.25">
      <c r="A166" s="4" t="s">
        <v>144</v>
      </c>
      <c r="B166" s="4">
        <v>1.2058823529411766</v>
      </c>
      <c r="C166" s="4">
        <v>1</v>
      </c>
      <c r="D166" s="4">
        <v>20.467451858140532</v>
      </c>
      <c r="E166" s="4">
        <v>24.517743681881271</v>
      </c>
      <c r="F166" s="2" t="s">
        <v>267</v>
      </c>
      <c r="G166"/>
      <c r="H166" s="3" t="str">
        <f>HYPERLINK(".\links\NR-LIGHT\ab-tri_asb-33068-NR-LIGHT.txt","hypothetical protein HMPREF9682_01529")</f>
        <v>hypothetical protein HMPREF9682_01529</v>
      </c>
      <c r="I166">
        <v>7</v>
      </c>
      <c r="J166" t="str">
        <f>HYPERLINK("http://www.ncbi.nlm.nih.gov/protein/355364199","gi|355364199")</f>
        <v>gi|355364199</v>
      </c>
    </row>
    <row r="167" spans="1:10" s="5" customFormat="1" x14ac:dyDescent="0.25">
      <c r="A167" s="4" t="s">
        <v>8</v>
      </c>
      <c r="B167" s="4">
        <v>1.1947368421052631</v>
      </c>
      <c r="C167" s="4">
        <v>1</v>
      </c>
      <c r="D167" s="4">
        <v>133.64830548626014</v>
      </c>
      <c r="E167" s="4">
        <v>158.23036470726888</v>
      </c>
      <c r="F167" s="2" t="s">
        <v>364</v>
      </c>
      <c r="G167">
        <v>100.2</v>
      </c>
      <c r="H167" s="3" t="str">
        <f>HYPERLINK(".\links\NR-LIGHT\ab-tri_asb-10924-NR-LIGHT.txt","salivary nitric oxide synthase")</f>
        <v>salivary nitric oxide synthase</v>
      </c>
      <c r="I167">
        <v>100</v>
      </c>
      <c r="J167" t="str">
        <f>HYPERLINK("http://www.ncbi.nlm.nih.gov/protein/289739395","gi|289739395")</f>
        <v>gi|289739395</v>
      </c>
    </row>
    <row r="168" spans="1:10" s="5" customFormat="1" x14ac:dyDescent="0.25">
      <c r="A168" s="4" t="s">
        <v>78</v>
      </c>
      <c r="B168" s="4">
        <v>1.1897302001740642</v>
      </c>
      <c r="C168" s="4">
        <v>1</v>
      </c>
      <c r="D168" s="4">
        <v>115.42366468242973</v>
      </c>
      <c r="E168" s="4">
        <v>136.06828299722031</v>
      </c>
      <c r="F168" s="2" t="s">
        <v>267</v>
      </c>
      <c r="G168"/>
      <c r="H168" s="3" t="str">
        <f>HYPERLINK(".\links\NR-LIGHT\ab-tri_asb-21027-NR-LIGHT.txt","hypothetical secreted peptide precursor")</f>
        <v>hypothetical secreted peptide precursor</v>
      </c>
      <c r="I168">
        <v>34</v>
      </c>
      <c r="J168" t="str">
        <f>HYPERLINK("http://www.ncbi.nlm.nih.gov/protein/289743785","gi|289743785")</f>
        <v>gi|289743785</v>
      </c>
    </row>
    <row r="169" spans="1:10" s="5" customFormat="1" x14ac:dyDescent="0.25">
      <c r="A169" s="4" t="s">
        <v>223</v>
      </c>
      <c r="B169" s="4">
        <v>1.1803278688524592</v>
      </c>
      <c r="C169" s="4">
        <v>1</v>
      </c>
      <c r="D169" s="4">
        <v>6.1138158047267366</v>
      </c>
      <c r="E169" s="4">
        <v>7.122551507725646</v>
      </c>
      <c r="F169" s="2" t="s">
        <v>366</v>
      </c>
      <c r="G169">
        <v>15.5</v>
      </c>
      <c r="H169" s="3" t="str">
        <f>HYPERLINK(".\links\NR-LIGHT\ab-tri_asb-57266-NR-LIGHT.txt","IP17263p")</f>
        <v>IP17263p</v>
      </c>
      <c r="I169">
        <v>75</v>
      </c>
      <c r="J169" t="str">
        <f>HYPERLINK("http://www.ncbi.nlm.nih.gov/protein/157816480","gi|157816480")</f>
        <v>gi|157816480</v>
      </c>
    </row>
    <row r="170" spans="1:10" s="5" customFormat="1" x14ac:dyDescent="0.25">
      <c r="A170" s="4" t="s">
        <v>52</v>
      </c>
      <c r="B170" s="4">
        <v>1.1764705882352942</v>
      </c>
      <c r="C170" s="4">
        <v>1</v>
      </c>
      <c r="D170" s="4">
        <v>5.1561253410285603</v>
      </c>
      <c r="E170" s="4">
        <v>5.9992741538194032</v>
      </c>
      <c r="F170" s="2" t="s">
        <v>267</v>
      </c>
      <c r="G170"/>
      <c r="H170" s="3" t="str">
        <f>HYPERLINK(".\links\NR-LIGHT\ab-tri_asb-1694-NR-LIGHT.txt","CG10026, isoform A")</f>
        <v>CG10026, isoform A</v>
      </c>
      <c r="I170">
        <v>6</v>
      </c>
      <c r="J170" t="str">
        <f>HYPERLINK("http://www.ncbi.nlm.nih.gov/protein/24585230","gi|24585230")</f>
        <v>gi|24585230</v>
      </c>
    </row>
    <row r="171" spans="1:10" s="5" customFormat="1" x14ac:dyDescent="0.25">
      <c r="A171" s="4" t="s">
        <v>148</v>
      </c>
      <c r="B171" s="4">
        <v>1.1725721012360213</v>
      </c>
      <c r="C171" s="4">
        <v>2.478706129238617E-10</v>
      </c>
      <c r="D171" s="4">
        <v>8533.3314590365426</v>
      </c>
      <c r="E171" s="4">
        <v>9916.0579415043121</v>
      </c>
      <c r="F171" s="2" t="s">
        <v>338</v>
      </c>
      <c r="G171">
        <v>100</v>
      </c>
      <c r="H171" s="3" t="str">
        <f>HYPERLINK(".\links\NR-LIGHT\ab-tri_asb-33482-NR-LIGHT.txt","putative salivary secreted peptide")</f>
        <v>putative salivary secreted peptide</v>
      </c>
      <c r="I171">
        <v>100</v>
      </c>
      <c r="J171" t="str">
        <f>HYPERLINK("http://www.ncbi.nlm.nih.gov/protein/289742159","gi|289742159")</f>
        <v>gi|289742159</v>
      </c>
    </row>
    <row r="172" spans="1:10" s="5" customFormat="1" x14ac:dyDescent="0.25">
      <c r="A172" s="4" t="s">
        <v>254</v>
      </c>
      <c r="B172" s="4">
        <v>1.1704545454545454</v>
      </c>
      <c r="C172" s="4">
        <v>1</v>
      </c>
      <c r="D172" s="4">
        <v>8.7964952252562139</v>
      </c>
      <c r="E172" s="4">
        <v>10.230139240852688</v>
      </c>
      <c r="F172" s="2" t="s">
        <v>267</v>
      </c>
      <c r="G172"/>
      <c r="H172" s="3" t="str">
        <f>HYPERLINK(".\links\NR-LIGHT\ab-tri_asb-8745-NR-LIGHT.txt","PitB")</f>
        <v>PitB</v>
      </c>
      <c r="I172">
        <v>15</v>
      </c>
      <c r="J172" t="str">
        <f>HYPERLINK("http://www.ncbi.nlm.nih.gov/protein/345523280","gi|345523280")</f>
        <v>gi|345523280</v>
      </c>
    </row>
    <row r="173" spans="1:10" s="5" customFormat="1" x14ac:dyDescent="0.25">
      <c r="A173" s="4" t="s">
        <v>94</v>
      </c>
      <c r="B173" s="4">
        <v>1.1666666666666667</v>
      </c>
      <c r="C173" s="4">
        <v>1</v>
      </c>
      <c r="D173" s="4">
        <v>13.240764889045456</v>
      </c>
      <c r="E173" s="4">
        <v>15.351235452878946</v>
      </c>
      <c r="F173" s="2" t="s">
        <v>267</v>
      </c>
      <c r="G173"/>
      <c r="H173" s="3" t="str">
        <f>HYPERLINK(".\links\NR-LIGHT\ab-tri_asb-23304-NR-LIGHT.txt","CG11122")</f>
        <v>CG11122</v>
      </c>
      <c r="I173">
        <v>45</v>
      </c>
      <c r="J173" t="str">
        <f>HYPERLINK("http://www.ncbi.nlm.nih.gov/protein/45549358","gi|45549358")</f>
        <v>gi|45549358</v>
      </c>
    </row>
    <row r="174" spans="1:10" s="5" customFormat="1" x14ac:dyDescent="0.25">
      <c r="A174" s="4" t="s">
        <v>109</v>
      </c>
      <c r="B174" s="4">
        <v>1.1621621621621621</v>
      </c>
      <c r="C174" s="4">
        <v>1</v>
      </c>
      <c r="D174" s="4">
        <v>3.6995111098244551</v>
      </c>
      <c r="E174" s="4">
        <v>4.2474980278905274</v>
      </c>
      <c r="F174" s="2" t="s">
        <v>267</v>
      </c>
      <c r="G174"/>
      <c r="H174" s="3" t="str">
        <f>HYPERLINK(".\links\NR-LIGHT\ab-tri_asb-25404-NR-LIGHT.txt","motor neuron homeobox")</f>
        <v>motor neuron homeobox</v>
      </c>
      <c r="I174">
        <v>9</v>
      </c>
      <c r="J174" t="str">
        <f>HYPERLINK("http://www.ncbi.nlm.nih.gov/protein/260794346","gi|260794346")</f>
        <v>gi|260794346</v>
      </c>
    </row>
    <row r="175" spans="1:10" s="5" customFormat="1" x14ac:dyDescent="0.25">
      <c r="A175" s="4" t="s">
        <v>101</v>
      </c>
      <c r="B175" s="4">
        <v>1.16015625</v>
      </c>
      <c r="C175" s="4">
        <v>1</v>
      </c>
      <c r="D175" s="4">
        <v>51.466994258363265</v>
      </c>
      <c r="E175" s="4">
        <v>59.08985626029952</v>
      </c>
      <c r="F175" s="2" t="s">
        <v>369</v>
      </c>
      <c r="G175">
        <v>105</v>
      </c>
      <c r="H175" s="3" t="str">
        <f>HYPERLINK(".\links\NR-LIGHT\ab-tri_asb-2483-NR-LIGHT.txt","AT09010p")</f>
        <v>AT09010p</v>
      </c>
      <c r="I175">
        <v>99</v>
      </c>
      <c r="J175" t="str">
        <f>HYPERLINK("http://www.ncbi.nlm.nih.gov/protein/60678223","gi|60678223")</f>
        <v>gi|60678223</v>
      </c>
    </row>
    <row r="176" spans="1:10" s="5" customFormat="1" x14ac:dyDescent="0.25">
      <c r="A176" s="4" t="s">
        <v>22</v>
      </c>
      <c r="B176" s="4">
        <v>1.1587301587301588</v>
      </c>
      <c r="C176" s="4">
        <v>1</v>
      </c>
      <c r="D176" s="4">
        <v>44.259434077102149</v>
      </c>
      <c r="E176" s="4">
        <v>50.881377788321522</v>
      </c>
      <c r="F176" s="2" t="s">
        <v>317</v>
      </c>
      <c r="G176">
        <v>47</v>
      </c>
      <c r="H176" s="3" t="str">
        <f>HYPERLINK(".\links\NR-LIGHT\ab-tri_asb-12723-NR-LIGHT.txt","comm3, isoform C")</f>
        <v>comm3, isoform C</v>
      </c>
      <c r="I176">
        <v>72</v>
      </c>
      <c r="J176" t="str">
        <f>HYPERLINK("http://www.ncbi.nlm.nih.gov/protein/221331196","gi|221331196")</f>
        <v>gi|221331196</v>
      </c>
    </row>
    <row r="177" spans="1:10" s="5" customFormat="1" x14ac:dyDescent="0.25">
      <c r="A177" s="4" t="s">
        <v>143</v>
      </c>
      <c r="B177" s="4">
        <v>1.1584385763490241</v>
      </c>
      <c r="C177" s="4">
        <v>1</v>
      </c>
      <c r="D177" s="4">
        <v>87.527503381323442</v>
      </c>
      <c r="E177" s="4">
        <v>100.47486287758453</v>
      </c>
      <c r="F177" s="2" t="s">
        <v>367</v>
      </c>
      <c r="G177">
        <v>100</v>
      </c>
      <c r="H177" s="3" t="str">
        <f>HYPERLINK(".\links\NR-LIGHT\ab-tri_asb-32339-NR-LIGHT.txt","dopamine N-acetyltransferase")</f>
        <v>dopamine N-acetyltransferase</v>
      </c>
      <c r="I177">
        <v>100</v>
      </c>
      <c r="J177" t="str">
        <f>HYPERLINK("http://www.ncbi.nlm.nih.gov/protein/289739631","gi|289739631")</f>
        <v>gi|289739631</v>
      </c>
    </row>
    <row r="178" spans="1:10" s="5" customFormat="1" x14ac:dyDescent="0.25">
      <c r="A178" s="4" t="s">
        <v>261</v>
      </c>
      <c r="B178" s="4">
        <v>1.15521327014218</v>
      </c>
      <c r="C178" s="4">
        <v>1</v>
      </c>
      <c r="D178" s="4">
        <v>84.731213621795689</v>
      </c>
      <c r="E178" s="4">
        <v>97.074389520467818</v>
      </c>
      <c r="F178" s="2" t="s">
        <v>368</v>
      </c>
      <c r="G178">
        <v>100</v>
      </c>
      <c r="H178" s="3" t="str">
        <f>HYPERLINK(".\links\NR-LIGHT\ab-tri_asb-9688-NR-LIGHT.txt","alkyl hydroperoxide reductase")</f>
        <v>alkyl hydroperoxide reductase</v>
      </c>
      <c r="I178">
        <v>100</v>
      </c>
      <c r="J178" t="str">
        <f>HYPERLINK("http://www.ncbi.nlm.nih.gov/protein/289740625","gi|289740625")</f>
        <v>gi|289740625</v>
      </c>
    </row>
    <row r="179" spans="1:10" s="5" customFormat="1" x14ac:dyDescent="0.25">
      <c r="A179" s="4" t="s">
        <v>103</v>
      </c>
      <c r="B179" s="4">
        <v>1.1504630608533852</v>
      </c>
      <c r="C179" s="4">
        <v>1.3346879157438707E-10</v>
      </c>
      <c r="D179" s="4">
        <v>2375.3918532471421</v>
      </c>
      <c r="E179" s="4">
        <v>2708.1844606824079</v>
      </c>
      <c r="F179" s="2" t="s">
        <v>370</v>
      </c>
      <c r="G179">
        <v>97.6</v>
      </c>
      <c r="H179" s="3" t="str">
        <f>HYPERLINK(".\links\NR-LIGHT\ab-tri_asb-25034-NR-LIGHT.txt","CEC-A")</f>
        <v>CEC-A</v>
      </c>
      <c r="I179">
        <v>100</v>
      </c>
      <c r="J179" t="str">
        <f>HYPERLINK("http://www.ncbi.nlm.nih.gov/protein/156535920","gi|156535920")</f>
        <v>gi|156535920</v>
      </c>
    </row>
    <row r="180" spans="1:10" s="5" customFormat="1" x14ac:dyDescent="0.25">
      <c r="A180" s="4" t="s">
        <v>142</v>
      </c>
      <c r="B180" s="4">
        <v>1.141025641025641</v>
      </c>
      <c r="C180" s="4">
        <v>1</v>
      </c>
      <c r="D180" s="4">
        <v>23.483198345407175</v>
      </c>
      <c r="E180" s="4">
        <v>26.546528646474659</v>
      </c>
      <c r="F180" s="2" t="s">
        <v>329</v>
      </c>
      <c r="G180">
        <v>58.2</v>
      </c>
      <c r="H180" s="3" t="str">
        <f>HYPERLINK(".\links\NR-LIGHT\ab-tri_asb-3208-NR-LIGHT.txt","similar to hemicentin 1, partial")</f>
        <v>similar to hemicentin 1, partial</v>
      </c>
      <c r="I180">
        <v>5</v>
      </c>
      <c r="J180" t="str">
        <f>HYPERLINK("http://www.ncbi.nlm.nih.gov/protein/221091136","gi|221091136")</f>
        <v>gi|221091136</v>
      </c>
    </row>
    <row r="181" spans="1:10" s="5" customFormat="1" x14ac:dyDescent="0.25">
      <c r="A181" s="4" t="s">
        <v>122</v>
      </c>
      <c r="B181" s="4">
        <v>1.1250000000000002</v>
      </c>
      <c r="C181" s="4">
        <v>1</v>
      </c>
      <c r="D181" s="4">
        <v>4.8380996769364986</v>
      </c>
      <c r="E181" s="4">
        <v>5.3653729483398669</v>
      </c>
      <c r="F181" s="2" t="s">
        <v>267</v>
      </c>
      <c r="G181"/>
      <c r="H181" s="3" t="str">
        <f>HYPERLINK(".\links\NR-LIGHT\ab-tri_asb-27804-NR-LIGHT.txt","hypothetical protein")</f>
        <v>hypothetical protein</v>
      </c>
      <c r="I181">
        <v>16</v>
      </c>
      <c r="J181" t="str">
        <f>HYPERLINK("http://www.ncbi.nlm.nih.gov/protein/71409643","gi|71409643")</f>
        <v>gi|71409643</v>
      </c>
    </row>
    <row r="182" spans="1:10" s="5" customFormat="1" x14ac:dyDescent="0.25">
      <c r="A182" s="4" t="s">
        <v>207</v>
      </c>
      <c r="B182" s="4">
        <v>1.1212814645308924</v>
      </c>
      <c r="C182" s="4">
        <v>1</v>
      </c>
      <c r="D182" s="4">
        <v>43.906850305059358</v>
      </c>
      <c r="E182" s="4">
        <v>48.816045015041873</v>
      </c>
      <c r="F182" s="2" t="s">
        <v>371</v>
      </c>
      <c r="G182">
        <v>22.9</v>
      </c>
      <c r="H182" s="3" t="str">
        <f>HYPERLINK(".\links\NR-LIGHT\ab-tri_asb-56176-NR-LIGHT.txt","Lipase, putative")</f>
        <v>Lipase, putative</v>
      </c>
      <c r="I182">
        <v>24</v>
      </c>
      <c r="J182" t="str">
        <f>HYPERLINK("http://www.ncbi.nlm.nih.gov/protein/124808847","gi|124808847")</f>
        <v>gi|124808847</v>
      </c>
    </row>
    <row r="183" spans="1:10" s="5" customFormat="1" x14ac:dyDescent="0.25">
      <c r="A183" s="4" t="s">
        <v>177</v>
      </c>
      <c r="B183" s="4">
        <v>1.1206896551724139</v>
      </c>
      <c r="C183" s="4">
        <v>1</v>
      </c>
      <c r="D183" s="4">
        <v>23.284791295735683</v>
      </c>
      <c r="E183" s="4">
        <v>25.896866763987092</v>
      </c>
      <c r="F183" s="2" t="s">
        <v>267</v>
      </c>
      <c r="G183"/>
      <c r="H183" s="3" t="str">
        <f>HYPERLINK(".\links\NR-LIGHT\ab-tri_asb-4787-NR-LIGHT.txt","hypothetical protein LOC100503367, partial")</f>
        <v>hypothetical protein LOC100503367, partial</v>
      </c>
      <c r="I183">
        <v>50</v>
      </c>
      <c r="J183" t="str">
        <f>HYPERLINK("http://www.ncbi.nlm.nih.gov/protein/309262927","gi|309262927")</f>
        <v>gi|309262927</v>
      </c>
    </row>
    <row r="184" spans="1:10" s="5" customFormat="1" x14ac:dyDescent="0.25">
      <c r="A184" s="4" t="s">
        <v>114</v>
      </c>
      <c r="B184" s="4">
        <v>1.1095890410958904</v>
      </c>
      <c r="C184" s="4">
        <v>1</v>
      </c>
      <c r="D184" s="4">
        <v>21.998417508056001</v>
      </c>
      <c r="E184" s="4">
        <v>24.141146983377798</v>
      </c>
      <c r="F184" s="2" t="s">
        <v>267</v>
      </c>
      <c r="G184"/>
      <c r="H184" s="3" t="str">
        <f>HYPERLINK(".\links\NR-LIGHT\ab-tri_asb-26498-NR-LIGHT.txt","hypothetical protein, conserved in Plasmodium species")</f>
        <v>hypothetical protein, conserved in Plasmodium species</v>
      </c>
      <c r="I184">
        <v>18</v>
      </c>
      <c r="J184" t="str">
        <f>HYPERLINK("http://www.ncbi.nlm.nih.gov/protein/221055902","gi|221055902")</f>
        <v>gi|221055902</v>
      </c>
    </row>
    <row r="185" spans="1:10" s="5" customFormat="1" x14ac:dyDescent="0.25">
      <c r="A185" s="4" t="s">
        <v>68</v>
      </c>
      <c r="B185" s="4">
        <v>1.1049382716049383</v>
      </c>
      <c r="C185" s="4">
        <v>1</v>
      </c>
      <c r="D185" s="4">
        <v>16.230573183446882</v>
      </c>
      <c r="E185" s="4">
        <v>17.859908113094548</v>
      </c>
      <c r="F185" s="2" t="s">
        <v>267</v>
      </c>
      <c r="G185"/>
      <c r="H185" s="3" t="str">
        <f>HYPERLINK(".\links\NR-LIGHT\ab-tri_asb-19928-NR-LIGHT.txt","26S proteasome regulatory complex subunit")</f>
        <v>26S proteasome regulatory complex subunit</v>
      </c>
      <c r="I185">
        <v>5</v>
      </c>
      <c r="J185" t="str">
        <f>HYPERLINK("http://www.ncbi.nlm.nih.gov/protein/70946144","gi|70946144")</f>
        <v>gi|70946144</v>
      </c>
    </row>
    <row r="186" spans="1:10" s="5" customFormat="1" x14ac:dyDescent="0.25">
      <c r="A186" s="4" t="s">
        <v>1</v>
      </c>
      <c r="B186" s="4">
        <v>1.1035502958579881</v>
      </c>
      <c r="C186" s="4">
        <v>1</v>
      </c>
      <c r="D186" s="4">
        <v>101.87765986789367</v>
      </c>
      <c r="E186" s="4">
        <v>111.35016421861772</v>
      </c>
      <c r="F186" s="2" t="s">
        <v>267</v>
      </c>
      <c r="G186"/>
      <c r="H186" s="3" t="str">
        <f>HYPERLINK(".\links\NR-LIGHT\ab-tri_asb-10042-NR-LIGHT.txt","similar to MGC86278 protein")</f>
        <v>similar to MGC86278 protein</v>
      </c>
      <c r="I186">
        <v>11</v>
      </c>
      <c r="J186" t="str">
        <f>HYPERLINK("http://www.ncbi.nlm.nih.gov/protein/115752466","gi|115752466")</f>
        <v>gi|115752466</v>
      </c>
    </row>
    <row r="187" spans="1:10" s="5" customFormat="1" x14ac:dyDescent="0.25">
      <c r="A187" s="4" t="s">
        <v>232</v>
      </c>
      <c r="B187" s="4">
        <v>1.1005586592178771</v>
      </c>
      <c r="C187" s="4">
        <v>1</v>
      </c>
      <c r="D187" s="4">
        <v>17.973071801739842</v>
      </c>
      <c r="E187" s="4">
        <v>19.63366611062791</v>
      </c>
      <c r="F187" s="2" t="s">
        <v>293</v>
      </c>
      <c r="G187">
        <v>110.3</v>
      </c>
      <c r="H187" s="3" t="str">
        <f>HYPERLINK(".\links\NR-LIGHT\ab-tri_asb-5977-NR-LIGHT.txt","GTPase-activating protein 69C")</f>
        <v>GTPase-activating protein 69C</v>
      </c>
      <c r="I187">
        <v>100</v>
      </c>
      <c r="J187" t="str">
        <f>HYPERLINK("http://www.ncbi.nlm.nih.gov/protein/24663283","gi|24663283")</f>
        <v>gi|24663283</v>
      </c>
    </row>
    <row r="188" spans="1:10" s="5" customFormat="1" x14ac:dyDescent="0.25">
      <c r="A188" s="4" t="s">
        <v>224</v>
      </c>
      <c r="B188" s="4">
        <v>1.0925925925925926</v>
      </c>
      <c r="C188" s="4">
        <v>1</v>
      </c>
      <c r="D188" s="4">
        <v>5.4636148171435401</v>
      </c>
      <c r="E188" s="4">
        <v>5.8346493575707488</v>
      </c>
      <c r="F188" s="2" t="s">
        <v>267</v>
      </c>
      <c r="G188"/>
      <c r="H188" s="3" t="str">
        <f>HYPERLINK(".\links\NR-LIGHT\ab-tri_asb-57318-NR-LIGHT.txt","hypothetical protein")</f>
        <v>hypothetical protein</v>
      </c>
      <c r="I188">
        <v>12</v>
      </c>
      <c r="J188" t="str">
        <f>HYPERLINK("http://www.ncbi.nlm.nih.gov/protein/256072773","gi|256072773")</f>
        <v>gi|256072773</v>
      </c>
    </row>
    <row r="189" spans="1:10" s="5" customFormat="1" x14ac:dyDescent="0.25">
      <c r="A189" s="4" t="s">
        <v>40</v>
      </c>
      <c r="B189" s="4">
        <v>1.0902255639097744</v>
      </c>
      <c r="C189" s="4">
        <v>1</v>
      </c>
      <c r="D189" s="4">
        <v>13.367572114694656</v>
      </c>
      <c r="E189" s="4">
        <v>14.439752034764284</v>
      </c>
      <c r="F189" s="2" t="s">
        <v>267</v>
      </c>
      <c r="G189"/>
      <c r="H189" s="3" t="str">
        <f>HYPERLINK(".\links\NR-LIGHT\ab-tri_asb-15105-NR-LIGHT.txt","hypothetical protein")</f>
        <v>hypothetical protein</v>
      </c>
      <c r="I189">
        <v>88</v>
      </c>
      <c r="J189" t="str">
        <f>HYPERLINK("http://www.ncbi.nlm.nih.gov/protein/83314473","gi|83314473")</f>
        <v>gi|83314473</v>
      </c>
    </row>
    <row r="190" spans="1:10" s="5" customFormat="1" x14ac:dyDescent="0.25">
      <c r="A190" s="4" t="s">
        <v>83</v>
      </c>
      <c r="B190" s="4">
        <v>1.070796460176991</v>
      </c>
      <c r="C190" s="4">
        <v>1</v>
      </c>
      <c r="D190" s="4">
        <v>22.68848834861539</v>
      </c>
      <c r="E190" s="4">
        <v>24.131171302806155</v>
      </c>
      <c r="F190" s="2" t="s">
        <v>372</v>
      </c>
      <c r="G190">
        <v>101.4</v>
      </c>
      <c r="H190" s="3" t="str">
        <f>HYPERLINK(".\links\NR-LIGHT\ab-tri_asb-21676-NR-LIGHT.txt","CG42566")</f>
        <v>CG42566</v>
      </c>
      <c r="I190">
        <v>97</v>
      </c>
      <c r="J190" t="str">
        <f>HYPERLINK("http://www.ncbi.nlm.nih.gov/protein/281364035","gi|281364035")</f>
        <v>gi|281364035</v>
      </c>
    </row>
    <row r="191" spans="1:10" s="5" customFormat="1" x14ac:dyDescent="0.25">
      <c r="A191" s="4" t="s">
        <v>168</v>
      </c>
      <c r="B191" s="4">
        <v>1.0666666666666667</v>
      </c>
      <c r="C191" s="4">
        <v>1</v>
      </c>
      <c r="D191" s="4">
        <v>7.5293491420884653</v>
      </c>
      <c r="E191" s="4">
        <v>7.9868841421642429</v>
      </c>
      <c r="F191" s="2" t="s">
        <v>267</v>
      </c>
      <c r="G191"/>
      <c r="H191" s="3" t="str">
        <f>HYPERLINK(".\links\NR-LIGHT\ab-tri_asb-39254-NR-LIGHT.txt","Ser/Thr protein kinase")</f>
        <v>Ser/Thr protein kinase</v>
      </c>
      <c r="I191">
        <v>18</v>
      </c>
      <c r="J191" t="str">
        <f>HYPERLINK("http://www.ncbi.nlm.nih.gov/protein/221053055","gi|221053055")</f>
        <v>gi|221053055</v>
      </c>
    </row>
    <row r="192" spans="1:10" s="5" customFormat="1" x14ac:dyDescent="0.25">
      <c r="A192" s="4" t="s">
        <v>61</v>
      </c>
      <c r="B192" s="4">
        <v>1.0350877192982457</v>
      </c>
      <c r="C192" s="4">
        <v>1</v>
      </c>
      <c r="D192" s="4">
        <v>5.7580013689348357</v>
      </c>
      <c r="E192" s="4">
        <v>5.8534013918600962</v>
      </c>
      <c r="F192" s="2" t="s">
        <v>267</v>
      </c>
      <c r="G192"/>
      <c r="H192" s="3" t="str">
        <f>HYPERLINK(".\links\NR-LIGHT\ab-tri_asb-18565-NR-LIGHT.txt","SJCHGC07766 protein")</f>
        <v>SJCHGC07766 protein</v>
      </c>
      <c r="I192">
        <v>82</v>
      </c>
      <c r="J192" t="str">
        <f>HYPERLINK("http://www.ncbi.nlm.nih.gov/protein/76157619","gi|76157619")</f>
        <v>gi|76157619</v>
      </c>
    </row>
    <row r="193" spans="1:10" s="5" customFormat="1" x14ac:dyDescent="0.25">
      <c r="A193" s="4" t="s">
        <v>238</v>
      </c>
      <c r="B193" s="4">
        <v>1.015015015015015</v>
      </c>
      <c r="C193" s="4">
        <v>1</v>
      </c>
      <c r="D193" s="4">
        <v>33.437221898093064</v>
      </c>
      <c r="E193" s="4">
        <v>33.635578902444173</v>
      </c>
      <c r="F193" s="2" t="s">
        <v>267</v>
      </c>
      <c r="G193"/>
      <c r="H193" s="3" t="str">
        <f>HYPERLINK(".\links\NR-LIGHT\ab-tri_asb-6696-NR-LIGHT.txt","RalBP1-associated Eps domain-containing protein, putative")</f>
        <v>RalBP1-associated Eps domain-containing protein, putative</v>
      </c>
      <c r="I193">
        <v>10</v>
      </c>
      <c r="J193" t="str">
        <f>HYPERLINK("http://www.ncbi.nlm.nih.gov/protein/242018231","gi|242018231")</f>
        <v>gi|242018231</v>
      </c>
    </row>
    <row r="194" spans="1:10" s="5" customFormat="1" x14ac:dyDescent="0.25">
      <c r="A194" s="4" t="s">
        <v>136</v>
      </c>
      <c r="B194" s="4">
        <v>1.0032362459546926</v>
      </c>
      <c r="C194" s="4">
        <v>1</v>
      </c>
      <c r="D194" s="4">
        <v>31.088396054157542</v>
      </c>
      <c r="E194" s="4">
        <v>30.879732726705477</v>
      </c>
      <c r="F194" s="2" t="s">
        <v>267</v>
      </c>
      <c r="G194"/>
      <c r="H194" s="3" t="str">
        <f>HYPERLINK(".\links\NR-LIGHT\ab-tri_asb-31197-NR-LIGHT.txt","putative glycosyltransferase CpsIVJ")</f>
        <v>putative glycosyltransferase CpsIVJ</v>
      </c>
      <c r="I194">
        <v>13</v>
      </c>
      <c r="J194" t="str">
        <f>HYPERLINK("http://www.ncbi.nlm.nih.gov/protein/13876780","gi|13876780")</f>
        <v>gi|13876780</v>
      </c>
    </row>
    <row r="195" spans="1:10" s="5" customFormat="1" x14ac:dyDescent="0.25">
      <c r="A195" s="4" t="s">
        <v>25</v>
      </c>
      <c r="B195" s="4">
        <v>-1</v>
      </c>
      <c r="C195" s="4">
        <v>1</v>
      </c>
      <c r="D195" s="4">
        <v>6.9255398714670973</v>
      </c>
      <c r="E195" s="4">
        <v>6.8269420291705867</v>
      </c>
      <c r="F195" s="2" t="s">
        <v>267</v>
      </c>
      <c r="G195"/>
      <c r="H195" s="3" t="str">
        <f>HYPERLINK(".\links\NR-LIGHT\ab-tri_asb-12799-NR-LIGHT.txt","leucine-rich repeat-containing protein 68-like")</f>
        <v>leucine-rich repeat-containing protein 68-like</v>
      </c>
      <c r="I195">
        <v>7</v>
      </c>
      <c r="J195" t="str">
        <f>HYPERLINK("http://www.ncbi.nlm.nih.gov/protein/193596637","gi|193596637")</f>
        <v>gi|193596637</v>
      </c>
    </row>
    <row r="196" spans="1:10" s="5" customFormat="1" x14ac:dyDescent="0.25">
      <c r="A196" s="4" t="s">
        <v>72</v>
      </c>
      <c r="B196" s="4">
        <v>-1</v>
      </c>
      <c r="C196" s="4">
        <v>1</v>
      </c>
      <c r="D196" s="4">
        <v>7.8363287821118526</v>
      </c>
      <c r="E196" s="4">
        <v>7.7787835085818546</v>
      </c>
      <c r="F196" s="2" t="s">
        <v>267</v>
      </c>
      <c r="G196"/>
      <c r="H196" s="3" t="str">
        <f>HYPERLINK(".\links\NR-LIGHT\ab-tri_asb-20245-NR-LIGHT.txt","Intermediate Filament, C family member (ifc-2)")</f>
        <v>Intermediate Filament, C family member (ifc-2)</v>
      </c>
      <c r="I196">
        <v>7</v>
      </c>
      <c r="J196" t="str">
        <f>HYPERLINK("http://www.ncbi.nlm.nih.gov/protein/25150018","gi|25150018")</f>
        <v>gi|25150018</v>
      </c>
    </row>
    <row r="197" spans="1:10" s="5" customFormat="1" x14ac:dyDescent="0.25">
      <c r="A197" s="4" t="s">
        <v>156</v>
      </c>
      <c r="B197" s="4">
        <v>-1.0099009900990099</v>
      </c>
      <c r="C197" s="4">
        <v>1</v>
      </c>
      <c r="D197" s="4">
        <v>102.50154375937987</v>
      </c>
      <c r="E197" s="4">
        <v>100.50560191707247</v>
      </c>
      <c r="F197" s="2" t="s">
        <v>357</v>
      </c>
      <c r="G197">
        <v>63.8</v>
      </c>
      <c r="H197" s="3" t="str">
        <f>HYPERLINK(".\links\NR-LIGHT\ab-tri_asb-36045-NR-LIGHT.txt","hypothetical secreted peptide precursor")</f>
        <v>hypothetical secreted peptide precursor</v>
      </c>
      <c r="I197">
        <v>64</v>
      </c>
      <c r="J197" t="str">
        <f>HYPERLINK("http://www.ncbi.nlm.nih.gov/protein/289743887","gi|289743887")</f>
        <v>gi|289743887</v>
      </c>
    </row>
    <row r="198" spans="1:10" s="5" customFormat="1" x14ac:dyDescent="0.25">
      <c r="A198" s="4" t="s">
        <v>99</v>
      </c>
      <c r="B198" s="4">
        <v>-1.0222222222222221</v>
      </c>
      <c r="C198" s="4">
        <v>1</v>
      </c>
      <c r="D198" s="4">
        <v>9.2561695600677023</v>
      </c>
      <c r="E198" s="4">
        <v>8.9193484103993548</v>
      </c>
      <c r="F198" s="2" t="s">
        <v>267</v>
      </c>
      <c r="G198"/>
      <c r="H198" s="3" t="str">
        <f>HYPERLINK(".\links\NR-LIGHT\ab-tri_asb-24285-NR-LIGHT.txt","DNA mismatch repair protein, putative")</f>
        <v>DNA mismatch repair protein, putative</v>
      </c>
      <c r="I198">
        <v>6</v>
      </c>
      <c r="J198" t="str">
        <f>HYPERLINK("http://www.ncbi.nlm.nih.gov/protein/124808081","gi|124808081")</f>
        <v>gi|124808081</v>
      </c>
    </row>
    <row r="199" spans="1:10" s="5" customFormat="1" x14ac:dyDescent="0.25">
      <c r="A199" s="4" t="s">
        <v>60</v>
      </c>
      <c r="B199" s="4">
        <v>-1.0246913580246915</v>
      </c>
      <c r="C199" s="4">
        <v>1</v>
      </c>
      <c r="D199" s="4">
        <v>8.3236733113752557</v>
      </c>
      <c r="E199" s="4">
        <v>8.092770863745967</v>
      </c>
      <c r="F199" s="2" t="s">
        <v>267</v>
      </c>
      <c r="G199"/>
      <c r="H199" s="3" t="str">
        <f>HYPERLINK(".\links\NR-LIGHT\ab-tri_asb-18381-NR-LIGHT.txt","mCG148354")</f>
        <v>mCG148354</v>
      </c>
      <c r="I199">
        <v>18</v>
      </c>
      <c r="J199" t="str">
        <f>HYPERLINK("http://www.ncbi.nlm.nih.gov/protein/148706989","gi|148706989")</f>
        <v>gi|148706989</v>
      </c>
    </row>
    <row r="200" spans="1:10" s="5" customFormat="1" x14ac:dyDescent="0.25">
      <c r="A200" s="4" t="s">
        <v>75</v>
      </c>
      <c r="B200" s="4">
        <v>-1.0580985915492958</v>
      </c>
      <c r="C200" s="4">
        <v>1</v>
      </c>
      <c r="D200" s="4">
        <v>60.407816264042367</v>
      </c>
      <c r="E200" s="4">
        <v>56.508826825263398</v>
      </c>
      <c r="F200" s="2" t="s">
        <v>374</v>
      </c>
      <c r="G200">
        <v>98.4</v>
      </c>
      <c r="H200" s="3" t="str">
        <f>HYPERLINK(".\links\NR-LIGHT\ab-tri_asb-20556-NR-LIGHT.txt","secretory pathway calcium atpase, isoform B")</f>
        <v>secretory pathway calcium atpase, isoform B</v>
      </c>
      <c r="I200">
        <v>100</v>
      </c>
      <c r="J200" t="str">
        <f>HYPERLINK("http://www.ncbi.nlm.nih.gov/protein/24668696","gi|24668696")</f>
        <v>gi|24668696</v>
      </c>
    </row>
    <row r="201" spans="1:10" s="5" customFormat="1" x14ac:dyDescent="0.25">
      <c r="A201" s="4" t="s">
        <v>65</v>
      </c>
      <c r="B201" s="4">
        <v>-1.0721649484536084</v>
      </c>
      <c r="C201" s="4">
        <v>1</v>
      </c>
      <c r="D201" s="4">
        <v>20.869391643832159</v>
      </c>
      <c r="E201" s="4">
        <v>19.362143374943621</v>
      </c>
      <c r="F201" s="2" t="s">
        <v>267</v>
      </c>
      <c r="G201"/>
      <c r="H201" s="3" t="str">
        <f>HYPERLINK(".\links\NR-LIGHT\ab-tri_asb-19527-NR-LIGHT.txt","conserved Plasmodium protein, unknown function")</f>
        <v>conserved Plasmodium protein, unknown function</v>
      </c>
      <c r="I201">
        <v>14</v>
      </c>
      <c r="J201" t="str">
        <f>HYPERLINK("http://www.ncbi.nlm.nih.gov/protein/124511860","gi|124511860")</f>
        <v>gi|124511860</v>
      </c>
    </row>
    <row r="202" spans="1:10" s="5" customFormat="1" x14ac:dyDescent="0.25">
      <c r="A202" s="4" t="s">
        <v>228</v>
      </c>
      <c r="B202" s="4">
        <v>-1.0900000000000001</v>
      </c>
      <c r="C202" s="4">
        <v>1</v>
      </c>
      <c r="D202" s="4">
        <v>10.966660706954938</v>
      </c>
      <c r="E202" s="4">
        <v>9.9230984796586057</v>
      </c>
      <c r="F202" s="2" t="s">
        <v>267</v>
      </c>
      <c r="G202"/>
      <c r="H202" s="3" t="str">
        <f>HYPERLINK(".\links\NR-LIGHT\ab-tri_asb-57917-NR-LIGHT.txt","hypothetical protein")</f>
        <v>hypothetical protein</v>
      </c>
      <c r="I202">
        <v>9</v>
      </c>
      <c r="J202" t="str">
        <f>HYPERLINK("http://www.ncbi.nlm.nih.gov/protein/156102751","gi|156102751")</f>
        <v>gi|156102751</v>
      </c>
    </row>
    <row r="203" spans="1:10" s="5" customFormat="1" x14ac:dyDescent="0.25">
      <c r="A203" s="4" t="s">
        <v>242</v>
      </c>
      <c r="B203" s="4">
        <v>-1.1157407407407407</v>
      </c>
      <c r="C203" s="4">
        <v>1</v>
      </c>
      <c r="D203" s="4">
        <v>24.247360512359638</v>
      </c>
      <c r="E203" s="4">
        <v>21.494743330002567</v>
      </c>
      <c r="F203" s="2" t="s">
        <v>373</v>
      </c>
      <c r="G203">
        <v>6.9</v>
      </c>
      <c r="H203" s="3" t="str">
        <f>HYPERLINK(".\links\NR-LIGHT\ab-tri_asb-6838-NR-LIGHT.txt","homeobox protein NK7.1")</f>
        <v>homeobox protein NK7.1</v>
      </c>
      <c r="I203">
        <v>18</v>
      </c>
      <c r="J203" t="str">
        <f>HYPERLINK("http://www.ncbi.nlm.nih.gov/protein/2996042","gi|2996042")</f>
        <v>gi|2996042</v>
      </c>
    </row>
    <row r="204" spans="1:10" s="5" customFormat="1" x14ac:dyDescent="0.25">
      <c r="A204" s="4" t="s">
        <v>183</v>
      </c>
      <c r="B204" s="4">
        <v>-1.1362327401609689</v>
      </c>
      <c r="C204" s="4">
        <v>1</v>
      </c>
      <c r="D204" s="4">
        <v>1545.7786525008237</v>
      </c>
      <c r="E204" s="4">
        <v>1348.190883733168</v>
      </c>
      <c r="F204" s="2" t="s">
        <v>376</v>
      </c>
      <c r="G204">
        <v>9.5</v>
      </c>
      <c r="H204" s="3" t="str">
        <f>HYPERLINK(".\links\NR-LIGHT\ab-tri_asb-52331-NR-LIGHT.txt","Tsal2 protein precursor")</f>
        <v>Tsal2 protein precursor</v>
      </c>
      <c r="I204">
        <v>10</v>
      </c>
      <c r="J204" t="str">
        <f>HYPERLINK("http://www.ncbi.nlm.nih.gov/protein/289740591","gi|289740591")</f>
        <v>gi|289740591</v>
      </c>
    </row>
    <row r="205" spans="1:10" s="5" customFormat="1" x14ac:dyDescent="0.25">
      <c r="A205" s="4" t="s">
        <v>20</v>
      </c>
      <c r="B205" s="4">
        <v>-1.1385281385281385</v>
      </c>
      <c r="C205" s="4">
        <v>1</v>
      </c>
      <c r="D205" s="4">
        <v>26.38115617511454</v>
      </c>
      <c r="E205" s="4">
        <v>23.037090066123486</v>
      </c>
      <c r="F205" s="2" t="s">
        <v>375</v>
      </c>
      <c r="G205">
        <v>131.1</v>
      </c>
      <c r="H205" s="3" t="str">
        <f>HYPERLINK(".\links\NR-LIGHT\ab-tri_asb-12346-NR-LIGHT.txt","Cyclic-AMP response element binding protein A, isoform A")</f>
        <v>Cyclic-AMP response element binding protein A, isoform A</v>
      </c>
      <c r="I205">
        <v>100</v>
      </c>
      <c r="J205" t="str">
        <f>HYPERLINK("http://www.ncbi.nlm.nih.gov/protein/45549204","gi|45549204")</f>
        <v>gi|45549204</v>
      </c>
    </row>
    <row r="206" spans="1:10" s="5" customFormat="1" x14ac:dyDescent="0.25">
      <c r="A206" s="4" t="s">
        <v>28</v>
      </c>
      <c r="B206" s="4">
        <v>-1.1515151515151516</v>
      </c>
      <c r="C206" s="4">
        <v>1</v>
      </c>
      <c r="D206" s="4">
        <v>91.623752492946494</v>
      </c>
      <c r="E206" s="4">
        <v>78.829582857969967</v>
      </c>
      <c r="F206" s="2" t="s">
        <v>267</v>
      </c>
      <c r="G206"/>
      <c r="H206" s="3" t="str">
        <f>HYPERLINK(".\links\NR-LIGHT\ab-tri_asb-1322-NR-LIGHT.txt","hypothetical protein LOC100504165")</f>
        <v>hypothetical protein LOC100504165</v>
      </c>
      <c r="I206">
        <v>41</v>
      </c>
      <c r="J206" t="str">
        <f>HYPERLINK("http://www.ncbi.nlm.nih.gov/protein/309272546","gi|309272546")</f>
        <v>gi|309272546</v>
      </c>
    </row>
    <row r="207" spans="1:10" s="5" customFormat="1" x14ac:dyDescent="0.25">
      <c r="A207" s="4" t="s">
        <v>50</v>
      </c>
      <c r="B207" s="4">
        <v>-1.1803278688524592</v>
      </c>
      <c r="C207" s="4">
        <v>1</v>
      </c>
      <c r="D207" s="4">
        <v>7.2429501833753189</v>
      </c>
      <c r="E207" s="4">
        <v>6.0803742668913126</v>
      </c>
      <c r="F207" s="2" t="s">
        <v>357</v>
      </c>
      <c r="G207">
        <v>76.099999999999994</v>
      </c>
      <c r="H207" s="3" t="str">
        <f>HYPERLINK(".\links\NR-LIGHT\ab-tri_asb-16712-NR-LIGHT.txt","hypothetical secreted peptide precursor")</f>
        <v>hypothetical secreted peptide precursor</v>
      </c>
      <c r="I207">
        <v>76</v>
      </c>
      <c r="J207" t="str">
        <f>HYPERLINK("http://www.ncbi.nlm.nih.gov/protein/289743875","gi|289743875")</f>
        <v>gi|289743875</v>
      </c>
    </row>
    <row r="208" spans="1:10" s="5" customFormat="1" x14ac:dyDescent="0.25">
      <c r="A208" s="4" t="s">
        <v>151</v>
      </c>
      <c r="B208" s="4">
        <v>-1.1823899371069182</v>
      </c>
      <c r="C208" s="4">
        <v>1</v>
      </c>
      <c r="D208" s="4">
        <v>18.837647404909148</v>
      </c>
      <c r="E208" s="4">
        <v>15.809133780340957</v>
      </c>
      <c r="F208" s="2" t="s">
        <v>267</v>
      </c>
      <c r="G208"/>
      <c r="H208" s="3" t="str">
        <f>HYPERLINK(".\links\NR-LIGHT\ab-tri_asb-34451-NR-LIGHT.txt","hypothetical protein, unlikely")</f>
        <v>hypothetical protein, unlikely</v>
      </c>
      <c r="I208">
        <v>25</v>
      </c>
      <c r="J208" t="str">
        <f>HYPERLINK("http://www.ncbi.nlm.nih.gov/protein/340052234","gi|340052234")</f>
        <v>gi|340052234</v>
      </c>
    </row>
    <row r="209" spans="1:10" s="5" customFormat="1" x14ac:dyDescent="0.25">
      <c r="A209" s="4" t="s">
        <v>179</v>
      </c>
      <c r="B209" s="4">
        <v>-1.1986980284614055</v>
      </c>
      <c r="C209" s="4">
        <v>0</v>
      </c>
      <c r="D209" s="4">
        <v>37585.312947671395</v>
      </c>
      <c r="E209" s="4">
        <v>31073.290587540319</v>
      </c>
      <c r="F209" s="2" t="s">
        <v>338</v>
      </c>
      <c r="G209">
        <v>100</v>
      </c>
      <c r="H209" s="3" t="str">
        <f>HYPERLINK(".\links\NR-LIGHT\ab-tri_asb-50454-NR-LIGHT.txt","putative salivary secreted peptide")</f>
        <v>putative salivary secreted peptide</v>
      </c>
      <c r="I209">
        <v>100</v>
      </c>
      <c r="J209" t="str">
        <f>HYPERLINK("http://www.ncbi.nlm.nih.gov/protein/289743543","gi|289743543")</f>
        <v>gi|289743543</v>
      </c>
    </row>
    <row r="210" spans="1:10" s="5" customFormat="1" x14ac:dyDescent="0.25">
      <c r="A210" s="4" t="s">
        <v>147</v>
      </c>
      <c r="B210" s="4">
        <v>-1.2283854265808809</v>
      </c>
      <c r="C210" s="4">
        <v>1</v>
      </c>
      <c r="D210" s="4">
        <v>3241.1368033916769</v>
      </c>
      <c r="E210" s="4">
        <v>2614.7987896243935</v>
      </c>
      <c r="F210" s="2" t="s">
        <v>357</v>
      </c>
      <c r="G210">
        <v>100</v>
      </c>
      <c r="H210" s="3" t="str">
        <f>HYPERLINK(".\links\NR-LIGHT\ab-tri_asb-33340-NR-LIGHT.txt","hypothetical secreted peptide precursor")</f>
        <v>hypothetical secreted peptide precursor</v>
      </c>
      <c r="I210">
        <v>100</v>
      </c>
      <c r="J210" t="str">
        <f>HYPERLINK("http://www.ncbi.nlm.nih.gov/protein/289744025","gi|289744025")</f>
        <v>gi|289744025</v>
      </c>
    </row>
    <row r="211" spans="1:10" s="5" customFormat="1" x14ac:dyDescent="0.25">
      <c r="A211" s="4" t="s">
        <v>54</v>
      </c>
      <c r="B211" s="4">
        <v>-1.2358490566037736</v>
      </c>
      <c r="C211" s="4">
        <v>1</v>
      </c>
      <c r="D211" s="4">
        <v>26.270881245765189</v>
      </c>
      <c r="E211" s="4">
        <v>21.082705634784364</v>
      </c>
      <c r="F211" s="2" t="s">
        <v>267</v>
      </c>
      <c r="G211"/>
      <c r="H211" s="3" t="str">
        <f>HYPERLINK(".\links\NR-LIGHT\ab-tri_asb-17241-NR-LIGHT.txt","hypothetical protein")</f>
        <v>hypothetical protein</v>
      </c>
      <c r="I211">
        <v>3</v>
      </c>
      <c r="J211" t="str">
        <f>HYPERLINK("http://www.ncbi.nlm.nih.gov/protein/82540360","gi|82540360")</f>
        <v>gi|82540360</v>
      </c>
    </row>
    <row r="212" spans="1:10" s="5" customFormat="1" x14ac:dyDescent="0.25">
      <c r="A212" s="4" t="s">
        <v>15</v>
      </c>
      <c r="B212" s="4">
        <v>-1.2358974358974359</v>
      </c>
      <c r="C212" s="4">
        <v>1</v>
      </c>
      <c r="D212" s="4">
        <v>24.172473288511011</v>
      </c>
      <c r="E212" s="4">
        <v>19.461023922979294</v>
      </c>
      <c r="F212" s="2" t="s">
        <v>267</v>
      </c>
      <c r="G212"/>
      <c r="H212" s="3" t="str">
        <f>HYPERLINK(".\links\NR-LIGHT\ab-tri_asb-1137-NR-LIGHT.txt","similar to glucose transporter 3")</f>
        <v>similar to glucose transporter 3</v>
      </c>
      <c r="I212">
        <v>21</v>
      </c>
      <c r="J212" t="str">
        <f>HYPERLINK("http://www.ncbi.nlm.nih.gov/protein/91082971","gi|91082971")</f>
        <v>gi|91082971</v>
      </c>
    </row>
    <row r="213" spans="1:10" s="5" customFormat="1" x14ac:dyDescent="0.25">
      <c r="A213" s="4" t="s">
        <v>105</v>
      </c>
      <c r="B213" s="4">
        <v>-1.2890173410404624</v>
      </c>
      <c r="C213" s="4">
        <v>1</v>
      </c>
      <c r="D213" s="4">
        <v>22.3945203280032</v>
      </c>
      <c r="E213" s="4">
        <v>17.224980187055635</v>
      </c>
      <c r="F213" s="2" t="s">
        <v>378</v>
      </c>
      <c r="G213">
        <v>4.8</v>
      </c>
      <c r="H213" s="3" t="str">
        <f>HYPERLINK(".\links\NR-LIGHT\ab-tri_asb-25215-NR-LIGHT.txt","super cysteine rich protein")</f>
        <v>super cysteine rich protein</v>
      </c>
      <c r="I213">
        <v>72</v>
      </c>
      <c r="J213" t="str">
        <f>HYPERLINK("http://www.ncbi.nlm.nih.gov/protein/1480863","gi|1480863")</f>
        <v>gi|1480863</v>
      </c>
    </row>
    <row r="214" spans="1:10" s="5" customFormat="1" x14ac:dyDescent="0.25">
      <c r="A214" s="4" t="s">
        <v>133</v>
      </c>
      <c r="B214" s="4">
        <v>-1.2935483870967743</v>
      </c>
      <c r="C214" s="4">
        <v>1</v>
      </c>
      <c r="D214" s="4">
        <v>161.12218350892346</v>
      </c>
      <c r="E214" s="4">
        <v>123.48655369529146</v>
      </c>
      <c r="F214" s="2" t="s">
        <v>290</v>
      </c>
      <c r="G214">
        <v>91.9</v>
      </c>
      <c r="H214" s="3" t="str">
        <f>HYPERLINK(".\links\NR-LIGHT\ab-tri_asb-30329-NR-LIGHT.txt","CG3168, isoform A")</f>
        <v>CG3168, isoform A</v>
      </c>
      <c r="I214">
        <v>93</v>
      </c>
      <c r="J214" t="str">
        <f>HYPERLINK("http://www.ncbi.nlm.nih.gov/protein/24640196","gi|24640196")</f>
        <v>gi|24640196</v>
      </c>
    </row>
    <row r="215" spans="1:10" s="5" customFormat="1" x14ac:dyDescent="0.25">
      <c r="A215" s="4" t="s">
        <v>58</v>
      </c>
      <c r="B215" s="4">
        <v>-1.2946544980443284</v>
      </c>
      <c r="C215" s="4">
        <v>1</v>
      </c>
      <c r="D215" s="4">
        <v>99.744065703752099</v>
      </c>
      <c r="E215" s="4">
        <v>76.393015577604828</v>
      </c>
      <c r="F215" s="2" t="s">
        <v>377</v>
      </c>
      <c r="G215">
        <v>99.5</v>
      </c>
      <c r="H215" s="3" t="str">
        <f>HYPERLINK(".\links\NR-LIGHT\ab-tri_asb-17548-NR-LIGHT.txt","amino acid transporter protein")</f>
        <v>amino acid transporter protein</v>
      </c>
      <c r="I215">
        <v>100</v>
      </c>
      <c r="J215" t="str">
        <f>HYPERLINK("http://www.ncbi.nlm.nih.gov/protein/289739535","gi|289739535")</f>
        <v>gi|289739535</v>
      </c>
    </row>
    <row r="216" spans="1:10" s="5" customFormat="1" x14ac:dyDescent="0.25">
      <c r="A216" s="4" t="s">
        <v>49</v>
      </c>
      <c r="B216" s="4">
        <v>-1.3157894736842104</v>
      </c>
      <c r="C216" s="4">
        <v>1</v>
      </c>
      <c r="D216" s="4">
        <v>15.061971914238708</v>
      </c>
      <c r="E216" s="4">
        <v>11.394621376154321</v>
      </c>
      <c r="F216" s="2" t="s">
        <v>379</v>
      </c>
      <c r="G216">
        <v>8.5</v>
      </c>
      <c r="H216" s="3" t="str">
        <f>HYPERLINK(".\links\NR-LIGHT\ab-tri_asb-16468-NR-LIGHT.txt","U88")</f>
        <v>U88</v>
      </c>
      <c r="I216">
        <v>93</v>
      </c>
      <c r="J216" t="str">
        <f>HYPERLINK("http://www.ncbi.nlm.nih.gov/protein/170595123","gi|170595123")</f>
        <v>gi|170595123</v>
      </c>
    </row>
    <row r="217" spans="1:10" s="5" customFormat="1" x14ac:dyDescent="0.25">
      <c r="A217" s="4" t="s">
        <v>197</v>
      </c>
      <c r="B217" s="4">
        <v>-1.3596491228070176</v>
      </c>
      <c r="C217" s="4">
        <v>1</v>
      </c>
      <c r="D217" s="4">
        <v>15.519796974705928</v>
      </c>
      <c r="E217" s="4">
        <v>11.328555779830822</v>
      </c>
      <c r="F217" s="2" t="s">
        <v>267</v>
      </c>
      <c r="G217"/>
      <c r="H217" s="3" t="str">
        <f>HYPERLINK(".\links\NR-LIGHT\ab-tri_asb-55598-NR-LIGHT.txt","similar to orf")</f>
        <v>similar to orf</v>
      </c>
      <c r="I217">
        <v>4</v>
      </c>
      <c r="J217" t="str">
        <f>HYPERLINK("http://www.ncbi.nlm.nih.gov/protein/189242337","gi|189242337")</f>
        <v>gi|189242337</v>
      </c>
    </row>
    <row r="218" spans="1:10" s="5" customFormat="1" x14ac:dyDescent="0.25">
      <c r="A218" s="4" t="s">
        <v>210</v>
      </c>
      <c r="B218" s="4">
        <v>-1.3663716475828187</v>
      </c>
      <c r="C218" s="4">
        <v>0</v>
      </c>
      <c r="D218" s="4">
        <v>7180.1936343814959</v>
      </c>
      <c r="E218" s="4">
        <v>5207.6410594764184</v>
      </c>
      <c r="F218" s="2" t="s">
        <v>381</v>
      </c>
      <c r="G218">
        <v>110.7</v>
      </c>
      <c r="H218" s="3" t="str">
        <f>HYPERLINK(".\links\NR-LIGHT\ab-tri_asb-56375-NR-LIGHT.txt","salivary secreted adenosine")</f>
        <v>salivary secreted adenosine</v>
      </c>
      <c r="I218">
        <v>78</v>
      </c>
      <c r="J218" t="str">
        <f>HYPERLINK("http://www.ncbi.nlm.nih.gov/protein/289742693","gi|289742693")</f>
        <v>gi|289742693</v>
      </c>
    </row>
    <row r="219" spans="1:10" s="5" customFormat="1" x14ac:dyDescent="0.25">
      <c r="A219" s="4" t="s">
        <v>9</v>
      </c>
      <c r="B219" s="4">
        <v>-1.386744966442953</v>
      </c>
      <c r="C219" s="4">
        <v>1</v>
      </c>
      <c r="D219" s="4">
        <v>498.11271144338298</v>
      </c>
      <c r="E219" s="4">
        <v>355.96246751236868</v>
      </c>
      <c r="F219" s="2" t="s">
        <v>267</v>
      </c>
      <c r="G219"/>
      <c r="H219" s="3" t="str">
        <f>HYPERLINK(".\links\NR-LIGHT\ab-tri_asb-10987-NR-LIGHT.txt","formate dehydrogenase")</f>
        <v>formate dehydrogenase</v>
      </c>
      <c r="I219">
        <v>10</v>
      </c>
      <c r="J219" t="str">
        <f>HYPERLINK("http://www.ncbi.nlm.nih.gov/protein/111017435","gi|111017435")</f>
        <v>gi|111017435</v>
      </c>
    </row>
    <row r="220" spans="1:10" s="5" customFormat="1" x14ac:dyDescent="0.25">
      <c r="A220" s="4" t="s">
        <v>48</v>
      </c>
      <c r="B220" s="4">
        <v>-1.3930348258706466</v>
      </c>
      <c r="C220" s="4">
        <v>1</v>
      </c>
      <c r="D220" s="4">
        <v>28.082352267216081</v>
      </c>
      <c r="E220" s="4">
        <v>20.055265841133455</v>
      </c>
      <c r="F220" s="2" t="s">
        <v>380</v>
      </c>
      <c r="G220">
        <v>44.4</v>
      </c>
      <c r="H220" s="3" t="str">
        <f>HYPERLINK(".\links\NR-LIGHT\ab-tri_asb-16431-NR-LIGHT.txt","CG12206, isoform A")</f>
        <v>CG12206, isoform A</v>
      </c>
      <c r="I220">
        <v>52</v>
      </c>
      <c r="J220" t="str">
        <f>HYPERLINK("http://www.ncbi.nlm.nih.gov/protein/24639508","gi|24639508")</f>
        <v>gi|24639508</v>
      </c>
    </row>
    <row r="221" spans="1:10" s="5" customFormat="1" x14ac:dyDescent="0.25">
      <c r="A221" s="4" t="s">
        <v>182</v>
      </c>
      <c r="B221" s="4">
        <v>-1.4001295720124454</v>
      </c>
      <c r="C221" s="4">
        <v>1.3823553413061518E-10</v>
      </c>
      <c r="D221" s="4">
        <v>35168.906507594933</v>
      </c>
      <c r="E221" s="4">
        <v>24892.454189438871</v>
      </c>
      <c r="F221" s="2" t="s">
        <v>381</v>
      </c>
      <c r="G221">
        <v>109</v>
      </c>
      <c r="H221" s="3" t="str">
        <f>HYPERLINK(".\links\NR-LIGHT\ab-tri_asb-51807-NR-LIGHT.txt","salivary gland growth factor-1 precursor")</f>
        <v>salivary gland growth factor-1 precursor</v>
      </c>
      <c r="I221">
        <v>100</v>
      </c>
      <c r="J221" t="str">
        <f>HYPERLINK("http://www.ncbi.nlm.nih.gov/protein/289739673","gi|289739673")</f>
        <v>gi|289739673</v>
      </c>
    </row>
    <row r="222" spans="1:10" s="5" customFormat="1" x14ac:dyDescent="0.25">
      <c r="A222" s="4" t="s">
        <v>129</v>
      </c>
      <c r="B222" s="4">
        <v>-1.4102564102564104</v>
      </c>
      <c r="C222" s="4">
        <v>1</v>
      </c>
      <c r="D222" s="4">
        <v>11.026333758593491</v>
      </c>
      <c r="E222" s="4">
        <v>7.7728516641542518</v>
      </c>
      <c r="F222" s="2" t="s">
        <v>267</v>
      </c>
      <c r="G222"/>
      <c r="H222" s="3" t="str">
        <f>HYPERLINK(".\links\NR-LIGHT\ab-tri_asb-29538-NR-LIGHT.txt","protein TRC8 homolog")</f>
        <v>protein TRC8 homolog</v>
      </c>
      <c r="I222">
        <v>7</v>
      </c>
      <c r="J222" t="str">
        <f>HYPERLINK("http://www.ncbi.nlm.nih.gov/protein/328721455","gi|328721455")</f>
        <v>gi|328721455</v>
      </c>
    </row>
    <row r="223" spans="1:10" s="5" customFormat="1" x14ac:dyDescent="0.25">
      <c r="A223" s="4" t="s">
        <v>150</v>
      </c>
      <c r="B223" s="4">
        <v>-1.4166666666666667</v>
      </c>
      <c r="C223" s="4">
        <v>1</v>
      </c>
      <c r="D223" s="4">
        <v>13.694012172003802</v>
      </c>
      <c r="E223" s="4">
        <v>9.5914321348100344</v>
      </c>
      <c r="F223" s="2" t="s">
        <v>267</v>
      </c>
      <c r="G223"/>
      <c r="H223" s="3" t="str">
        <f>HYPERLINK(".\links\NR-LIGHT\ab-tri_asb-34343-NR-LIGHT.txt","FI02835p")</f>
        <v>FI02835p</v>
      </c>
      <c r="I223">
        <v>7</v>
      </c>
      <c r="J223" t="str">
        <f>HYPERLINK("http://www.ncbi.nlm.nih.gov/protein/219990629","gi|219990629")</f>
        <v>gi|219990629</v>
      </c>
    </row>
    <row r="224" spans="1:10" s="5" customFormat="1" x14ac:dyDescent="0.25">
      <c r="A224" s="4" t="s">
        <v>162</v>
      </c>
      <c r="B224" s="4">
        <v>-1.447887323943662</v>
      </c>
      <c r="C224" s="4">
        <v>1</v>
      </c>
      <c r="D224" s="4">
        <v>51.608279401579331</v>
      </c>
      <c r="E224" s="4">
        <v>35.361711469606739</v>
      </c>
      <c r="F224" s="2" t="s">
        <v>382</v>
      </c>
      <c r="G224">
        <v>48.6</v>
      </c>
      <c r="H224" s="3" t="str">
        <f>HYPERLINK(".\links\NR-LIGHT\ab-tri_asb-3776-NR-LIGHT.txt","5' nucleotidase")</f>
        <v>5' nucleotidase</v>
      </c>
      <c r="I224">
        <v>63</v>
      </c>
      <c r="J224" t="str">
        <f>HYPERLINK("http://www.ncbi.nlm.nih.gov/protein/126143295","gi|126143295")</f>
        <v>gi|126143295</v>
      </c>
    </row>
    <row r="225" spans="1:10" s="5" customFormat="1" x14ac:dyDescent="0.25">
      <c r="A225" s="4" t="s">
        <v>119</v>
      </c>
      <c r="B225" s="4">
        <v>-1.4939271255060729</v>
      </c>
      <c r="C225" s="4">
        <v>1</v>
      </c>
      <c r="D225" s="4">
        <v>37.041942556528916</v>
      </c>
      <c r="E225" s="4">
        <v>24.602023425787738</v>
      </c>
      <c r="F225" s="2" t="s">
        <v>267</v>
      </c>
      <c r="G225"/>
      <c r="H225" s="3" t="str">
        <f>HYPERLINK(".\links\NR-LIGHT\ab-tri_asb-27156-NR-LIGHT.txt","CG34383, isoform E")</f>
        <v>CG34383, isoform E</v>
      </c>
      <c r="I225">
        <v>2</v>
      </c>
      <c r="J225" t="str">
        <f>HYPERLINK("http://www.ncbi.nlm.nih.gov/protein/161078273","gi|161078273")</f>
        <v>gi|161078273</v>
      </c>
    </row>
    <row r="226" spans="1:10" s="5" customFormat="1" x14ac:dyDescent="0.25">
      <c r="A226" s="4" t="s">
        <v>178</v>
      </c>
      <c r="B226" s="4">
        <v>-1.5022831050228311</v>
      </c>
      <c r="C226" s="4">
        <v>1</v>
      </c>
      <c r="D226" s="4">
        <v>33.03762338482592</v>
      </c>
      <c r="E226" s="4">
        <v>21.776910687898237</v>
      </c>
      <c r="F226" s="2" t="s">
        <v>267</v>
      </c>
      <c r="G226"/>
      <c r="H226" s="3" t="str">
        <f>HYPERLINK(".\links\NR-LIGHT\ab-tri_asb-50435-NR-LIGHT.txt","hypothetical protein KOX_09470")</f>
        <v>hypothetical protein KOX_09470</v>
      </c>
      <c r="I226">
        <v>16</v>
      </c>
      <c r="J226" t="str">
        <f>HYPERLINK("http://www.ncbi.nlm.nih.gov/protein/365908167","gi|365908167")</f>
        <v>gi|365908167</v>
      </c>
    </row>
    <row r="227" spans="1:10" s="5" customFormat="1" x14ac:dyDescent="0.25">
      <c r="A227" s="4" t="s">
        <v>176</v>
      </c>
      <c r="B227" s="4">
        <v>-1.5496083550913839</v>
      </c>
      <c r="C227" s="4">
        <v>1</v>
      </c>
      <c r="D227" s="4">
        <v>119.22622161614875</v>
      </c>
      <c r="E227" s="4">
        <v>76.292412649774178</v>
      </c>
      <c r="F227" s="2" t="s">
        <v>267</v>
      </c>
      <c r="G227"/>
      <c r="H227" s="3" t="str">
        <f>HYPERLINK(".\links\NR-LIGHT\ab-tri_asb-46402-NR-LIGHT.txt","hypothetical protein R12B2.3")</f>
        <v>hypothetical protein R12B2.3</v>
      </c>
      <c r="I227">
        <v>30</v>
      </c>
      <c r="J227" t="str">
        <f>HYPERLINK("http://www.ncbi.nlm.nih.gov/protein/193210267","gi|193210267")</f>
        <v>gi|193210267</v>
      </c>
    </row>
    <row r="228" spans="1:10" s="5" customFormat="1" x14ac:dyDescent="0.25">
      <c r="A228" s="4" t="s">
        <v>205</v>
      </c>
      <c r="B228" s="4">
        <v>-1.5570984834642794</v>
      </c>
      <c r="C228" s="4">
        <v>4.7797066659582832E-5</v>
      </c>
      <c r="D228" s="4">
        <v>856.01486351012204</v>
      </c>
      <c r="E228" s="4">
        <v>544.8590632801064</v>
      </c>
      <c r="F228" s="2" t="s">
        <v>384</v>
      </c>
      <c r="G228">
        <v>99.7</v>
      </c>
      <c r="H228" s="3" t="str">
        <f>HYPERLINK(".\links\NR-LIGHT\ab-tri_asb-55980-NR-LIGHT.txt","threonine aldolase")</f>
        <v>threonine aldolase</v>
      </c>
      <c r="I228">
        <v>97</v>
      </c>
      <c r="J228" t="str">
        <f>HYPERLINK("http://www.ncbi.nlm.nih.gov/protein/289740589","gi|289740589")</f>
        <v>gi|289740589</v>
      </c>
    </row>
    <row r="229" spans="1:10" s="5" customFormat="1" x14ac:dyDescent="0.25">
      <c r="A229" s="4" t="s">
        <v>45</v>
      </c>
      <c r="B229" s="4">
        <v>-1.5625</v>
      </c>
      <c r="C229" s="4">
        <v>1</v>
      </c>
      <c r="D229" s="4">
        <v>7.5032524165417565</v>
      </c>
      <c r="E229" s="4">
        <v>4.7749103577850383</v>
      </c>
      <c r="F229" s="2" t="s">
        <v>267</v>
      </c>
      <c r="G229"/>
      <c r="H229" s="3" t="str">
        <f>HYPERLINK(".\links\NR-LIGHT\ab-tri_asb-15851-NR-LIGHT.txt","TPA_inf: HDC10243")</f>
        <v>TPA_inf: HDC10243</v>
      </c>
      <c r="I229">
        <v>17</v>
      </c>
      <c r="J229" t="str">
        <f>HYPERLINK("http://www.ncbi.nlm.nih.gov/protein/41618110","gi|41618110")</f>
        <v>gi|41618110</v>
      </c>
    </row>
    <row r="230" spans="1:10" s="5" customFormat="1" x14ac:dyDescent="0.25">
      <c r="A230" s="4" t="s">
        <v>98</v>
      </c>
      <c r="B230" s="4">
        <v>-1.5641025641025641</v>
      </c>
      <c r="C230" s="4">
        <v>1</v>
      </c>
      <c r="D230" s="4">
        <v>49.019038377613732</v>
      </c>
      <c r="E230" s="4">
        <v>31.098704192047389</v>
      </c>
      <c r="F230" s="2" t="s">
        <v>385</v>
      </c>
      <c r="G230">
        <v>90.7</v>
      </c>
      <c r="H230" s="3" t="str">
        <f>HYPERLINK(".\links\NR-LIGHT\ab-tri_asb-23994-NR-LIGHT.txt","CG31678, isoform B")</f>
        <v>CG31678, isoform B</v>
      </c>
      <c r="I230">
        <v>82</v>
      </c>
      <c r="J230" t="str">
        <f>HYPERLINK("http://www.ncbi.nlm.nih.gov/protein/221523470","gi|221523470")</f>
        <v>gi|221523470</v>
      </c>
    </row>
    <row r="231" spans="1:10" s="5" customFormat="1" x14ac:dyDescent="0.25">
      <c r="A231" s="4" t="s">
        <v>237</v>
      </c>
      <c r="B231" s="4">
        <v>-1.5853658536585367</v>
      </c>
      <c r="C231" s="4">
        <v>1</v>
      </c>
      <c r="D231" s="4">
        <v>6.4824252424615398</v>
      </c>
      <c r="E231" s="4">
        <v>4.0358753398421445</v>
      </c>
      <c r="F231" s="2" t="s">
        <v>267</v>
      </c>
      <c r="G231"/>
      <c r="H231" s="3" t="str">
        <f>HYPERLINK(".\links\NR-LIGHT\ab-tri_asb-6692-NR-LIGHT.txt","LOW QUALITY PROTEIN: 7-dehydrocholesterol reductase-like")</f>
        <v>LOW QUALITY PROTEIN: 7-dehydrocholesterol reductase-like</v>
      </c>
      <c r="I231">
        <v>7</v>
      </c>
      <c r="J231" t="str">
        <f>HYPERLINK("http://www.ncbi.nlm.nih.gov/protein/335296693","gi|335296693")</f>
        <v>gi|335296693</v>
      </c>
    </row>
    <row r="232" spans="1:10" s="5" customFormat="1" x14ac:dyDescent="0.25">
      <c r="A232" s="4" t="s">
        <v>10</v>
      </c>
      <c r="B232" s="4">
        <v>-1.6010928961748634</v>
      </c>
      <c r="C232" s="4">
        <v>1</v>
      </c>
      <c r="D232" s="4">
        <v>29.385773205553903</v>
      </c>
      <c r="E232" s="4">
        <v>18.249469867239227</v>
      </c>
      <c r="F232" s="2" t="s">
        <v>386</v>
      </c>
      <c r="G232">
        <v>19.3</v>
      </c>
      <c r="H232" s="3" t="str">
        <f>HYPERLINK(".\links\NR-LIGHT\ab-tri_asb-11093-NR-LIGHT.txt","CG12206, isoform A")</f>
        <v>CG12206, isoform A</v>
      </c>
      <c r="I232">
        <v>18</v>
      </c>
      <c r="J232" t="str">
        <f>HYPERLINK("http://www.ncbi.nlm.nih.gov/protein/24639508","gi|24639508")</f>
        <v>gi|24639508</v>
      </c>
    </row>
    <row r="233" spans="1:10" s="5" customFormat="1" x14ac:dyDescent="0.25">
      <c r="A233" s="4" t="s">
        <v>193</v>
      </c>
      <c r="B233" s="4">
        <v>-1.6426141030153703</v>
      </c>
      <c r="C233" s="4">
        <v>5.7200910674737315E-10</v>
      </c>
      <c r="D233" s="4">
        <v>7031.5885475014011</v>
      </c>
      <c r="E233" s="4">
        <v>4242.2838678404496</v>
      </c>
      <c r="F233" s="2" t="s">
        <v>381</v>
      </c>
      <c r="G233">
        <v>111.7</v>
      </c>
      <c r="H233" s="3" t="str">
        <f>HYPERLINK(".\links\NR-LIGHT\ab-tri_asb-54969-NR-LIGHT.txt","salivary gland growth factor-2")</f>
        <v>salivary gland growth factor-2</v>
      </c>
      <c r="I233">
        <v>100</v>
      </c>
      <c r="J233" t="str">
        <f>HYPERLINK("http://www.ncbi.nlm.nih.gov/protein/5817646","gi|5817646")</f>
        <v>gi|5817646</v>
      </c>
    </row>
    <row r="234" spans="1:10" s="5" customFormat="1" x14ac:dyDescent="0.25">
      <c r="A234" s="4" t="s">
        <v>69</v>
      </c>
      <c r="B234" s="4">
        <v>-1.7083333333333333</v>
      </c>
      <c r="C234" s="4">
        <v>1</v>
      </c>
      <c r="D234" s="4">
        <v>8.2399443021772729</v>
      </c>
      <c r="E234" s="4">
        <v>4.7780196981526002</v>
      </c>
      <c r="F234" s="2" t="s">
        <v>387</v>
      </c>
      <c r="G234">
        <v>7.3</v>
      </c>
      <c r="H234" s="3" t="str">
        <f>HYPERLINK(".\links\NR-LIGHT\ab-tri_asb-20026-NR-LIGHT.txt","conserved Plasmodium protein, unknown function")</f>
        <v>conserved Plasmodium protein, unknown function</v>
      </c>
      <c r="I234">
        <v>72</v>
      </c>
      <c r="J234" t="str">
        <f>HYPERLINK("http://www.ncbi.nlm.nih.gov/protein/86170409","gi|86170409")</f>
        <v>gi|86170409</v>
      </c>
    </row>
    <row r="235" spans="1:10" s="5" customFormat="1" x14ac:dyDescent="0.25">
      <c r="A235" s="4" t="s">
        <v>138</v>
      </c>
      <c r="B235" s="4">
        <v>-1.7857142857142856</v>
      </c>
      <c r="C235" s="4">
        <v>1</v>
      </c>
      <c r="D235" s="4">
        <v>30.110684077690909</v>
      </c>
      <c r="E235" s="4">
        <v>16.747185131285029</v>
      </c>
      <c r="F235" s="2" t="s">
        <v>383</v>
      </c>
      <c r="G235">
        <v>50.2</v>
      </c>
      <c r="H235" s="3" t="str">
        <f>HYPERLINK(".\links\NR-LIGHT\ab-tri_asb-31489-NR-LIGHT.txt","similar to chromobox-like 1")</f>
        <v>similar to chromobox-like 1</v>
      </c>
      <c r="I235">
        <v>76</v>
      </c>
      <c r="J235" t="str">
        <f>HYPERLINK("http://www.ncbi.nlm.nih.gov/protein/91084417","gi|91084417")</f>
        <v>gi|91084417</v>
      </c>
    </row>
    <row r="236" spans="1:10" s="5" customFormat="1" x14ac:dyDescent="0.25">
      <c r="A236" s="4" t="s">
        <v>46</v>
      </c>
      <c r="B236" s="4">
        <v>-1.8</v>
      </c>
      <c r="C236" s="4">
        <v>1</v>
      </c>
      <c r="D236" s="4">
        <v>41.599087318844504</v>
      </c>
      <c r="E236" s="4">
        <v>22.936033365850083</v>
      </c>
      <c r="F236" s="2" t="s">
        <v>267</v>
      </c>
      <c r="G236"/>
      <c r="H236" s="3" t="str">
        <f>HYPERLINK(".\links\NR-LIGHT\ab-tri_asb-16200-NR-LIGHT.txt","hypothetical protein, conserved")</f>
        <v>hypothetical protein, conserved</v>
      </c>
      <c r="I236">
        <v>7</v>
      </c>
      <c r="J236" t="str">
        <f>HYPERLINK("http://www.ncbi.nlm.nih.gov/protein/322502887","gi|322502887")</f>
        <v>gi|322502887</v>
      </c>
    </row>
    <row r="237" spans="1:10" s="5" customFormat="1" x14ac:dyDescent="0.25">
      <c r="A237" s="4" t="s">
        <v>171</v>
      </c>
      <c r="B237" s="4">
        <v>-1.84375</v>
      </c>
      <c r="C237" s="4">
        <v>1</v>
      </c>
      <c r="D237" s="4">
        <v>29.642154444963502</v>
      </c>
      <c r="E237" s="4">
        <v>15.896169706142256</v>
      </c>
      <c r="F237" s="2" t="s">
        <v>388</v>
      </c>
      <c r="G237">
        <v>94.5</v>
      </c>
      <c r="H237" s="3" t="str">
        <f>HYPERLINK(".\links\NR-LIGHT\ab-tri_asb-4245-NR-LIGHT.txt","CG3108")</f>
        <v>CG3108</v>
      </c>
      <c r="I237">
        <v>25</v>
      </c>
      <c r="J237" t="str">
        <f>HYPERLINK("http://www.ncbi.nlm.nih.gov/protein/24639970","gi|24639970")</f>
        <v>gi|24639970</v>
      </c>
    </row>
    <row r="238" spans="1:10" s="5" customFormat="1" x14ac:dyDescent="0.25">
      <c r="A238" s="4" t="s">
        <v>195</v>
      </c>
      <c r="B238" s="4">
        <v>-1.8813816063254265</v>
      </c>
      <c r="C238" s="4">
        <v>0</v>
      </c>
      <c r="D238" s="4">
        <v>11353.418812818582</v>
      </c>
      <c r="E238" s="4">
        <v>5980.3762160467504</v>
      </c>
      <c r="F238" s="2" t="s">
        <v>308</v>
      </c>
      <c r="G238">
        <v>100</v>
      </c>
      <c r="H238" s="3" t="str">
        <f>HYPERLINK(".\links\NR-LIGHT\ab-tri_asb-55434-NR-LIGHT.txt","putative salivary secreted protein")</f>
        <v>putative salivary secreted protein</v>
      </c>
      <c r="I238">
        <v>100</v>
      </c>
      <c r="J238" t="str">
        <f>HYPERLINK("http://www.ncbi.nlm.nih.gov/protein/289742885","gi|289742885")</f>
        <v>gi|289742885</v>
      </c>
    </row>
    <row r="239" spans="1:10" s="5" customFormat="1" x14ac:dyDescent="0.25">
      <c r="A239" s="4" t="s">
        <v>141</v>
      </c>
      <c r="B239" s="4">
        <v>-1.8920863309352518</v>
      </c>
      <c r="C239" s="4">
        <v>1</v>
      </c>
      <c r="D239" s="4">
        <v>26.409880617435903</v>
      </c>
      <c r="E239" s="4">
        <v>13.873321480707371</v>
      </c>
      <c r="F239" s="2" t="s">
        <v>389</v>
      </c>
      <c r="G239">
        <v>5.8</v>
      </c>
      <c r="H239" s="3" t="str">
        <f>HYPERLINK(".\links\NR-LIGHT\ab-tri_asb-31738-NR-LIGHT.txt","CG31678, isoform C")</f>
        <v>CG31678, isoform C</v>
      </c>
      <c r="I239">
        <v>6</v>
      </c>
      <c r="J239" t="str">
        <f>HYPERLINK("http://www.ncbi.nlm.nih.gov/protein/221510664","gi|221510664")</f>
        <v>gi|221510664</v>
      </c>
    </row>
    <row r="240" spans="1:10" s="5" customFormat="1" x14ac:dyDescent="0.25">
      <c r="A240" s="4" t="s">
        <v>63</v>
      </c>
      <c r="B240" s="4">
        <v>-2.0396329807569771</v>
      </c>
      <c r="C240" s="4">
        <v>0</v>
      </c>
      <c r="D240" s="4">
        <v>1607.772656963471</v>
      </c>
      <c r="E240" s="4">
        <v>781.19614651003235</v>
      </c>
      <c r="F240" s="2" t="s">
        <v>267</v>
      </c>
      <c r="G240"/>
      <c r="H240" s="3" t="str">
        <f>HYPERLINK(".\links\NR-LIGHT\ab-tri_asb-19097-NR-LIGHT.txt","3-phosphoinositide dependent protein kinase-1")</f>
        <v>3-phosphoinositide dependent protein kinase-1</v>
      </c>
      <c r="I240">
        <v>12</v>
      </c>
      <c r="J240" t="str">
        <f>HYPERLINK("http://www.ncbi.nlm.nih.gov/protein/156098641","gi|156098641")</f>
        <v>gi|156098641</v>
      </c>
    </row>
    <row r="241" spans="1:10" s="5" customFormat="1" x14ac:dyDescent="0.25">
      <c r="A241" s="4" t="s">
        <v>173</v>
      </c>
      <c r="B241" s="4">
        <v>-2.0692646297255308</v>
      </c>
      <c r="C241" s="4">
        <v>9.0568108568334083E-11</v>
      </c>
      <c r="D241" s="4">
        <v>1605.5448307689603</v>
      </c>
      <c r="E241" s="4">
        <v>768.91633755525504</v>
      </c>
      <c r="F241" s="2" t="s">
        <v>390</v>
      </c>
      <c r="G241">
        <v>94.4</v>
      </c>
      <c r="H241" s="3" t="str">
        <f>HYPERLINK(".\links\NR-LIGHT\ab-tri_asb-44925-NR-LIGHT.txt","neural conserved at 73EF, isoform I")</f>
        <v>neural conserved at 73EF, isoform I</v>
      </c>
      <c r="I241">
        <v>99</v>
      </c>
      <c r="J241" t="str">
        <f>HYPERLINK("http://www.ncbi.nlm.nih.gov/protein/161084461","gi|161084461")</f>
        <v>gi|161084461</v>
      </c>
    </row>
    <row r="242" spans="1:10" s="5" customFormat="1" x14ac:dyDescent="0.25">
      <c r="A242" s="4" t="s">
        <v>64</v>
      </c>
      <c r="B242" s="4">
        <v>-2.1232876712328768</v>
      </c>
      <c r="C242" s="4">
        <v>1</v>
      </c>
      <c r="D242" s="4">
        <v>15.536542672226725</v>
      </c>
      <c r="E242" s="4">
        <v>7.3095994898350662</v>
      </c>
      <c r="F242" s="2" t="s">
        <v>267</v>
      </c>
      <c r="G242"/>
      <c r="H242" s="3" t="str">
        <f>HYPERLINK(".\links\NR-LIGHT\ab-tri_asb-19247-NR-LIGHT.txt","MSF transporter protein")</f>
        <v>MSF transporter protein</v>
      </c>
      <c r="I242">
        <v>10</v>
      </c>
      <c r="J242" t="str">
        <f>HYPERLINK("http://www.ncbi.nlm.nih.gov/protein/365908651","gi|365908651")</f>
        <v>gi|365908651</v>
      </c>
    </row>
    <row r="243" spans="1:10" s="5" customFormat="1" x14ac:dyDescent="0.25">
      <c r="A243" s="4" t="s">
        <v>211</v>
      </c>
      <c r="B243" s="4">
        <v>-2.1267288846047117</v>
      </c>
      <c r="C243" s="4">
        <v>0</v>
      </c>
      <c r="D243" s="4">
        <v>14627.237898796035</v>
      </c>
      <c r="E243" s="4">
        <v>6815.9967294579064</v>
      </c>
      <c r="F243" s="2" t="s">
        <v>381</v>
      </c>
      <c r="G243">
        <v>112.5</v>
      </c>
      <c r="H243" s="3" t="str">
        <f>HYPERLINK(".\links\NR-LIGHT\ab-tri_asb-56376-NR-LIGHT.txt","adenosine deaminase-related growth factor C")</f>
        <v>adenosine deaminase-related growth factor C</v>
      </c>
      <c r="I243">
        <v>100</v>
      </c>
      <c r="J243" t="str">
        <f>HYPERLINK("http://www.ncbi.nlm.nih.gov/protein/289742689","gi|289742689")</f>
        <v>gi|289742689</v>
      </c>
    </row>
    <row r="244" spans="1:10" s="5" customFormat="1" x14ac:dyDescent="0.25">
      <c r="A244" s="4" t="s">
        <v>217</v>
      </c>
      <c r="B244" s="4">
        <v>-2.2549634273772203</v>
      </c>
      <c r="C244" s="4">
        <v>4.7667425562281096E-12</v>
      </c>
      <c r="D244" s="4">
        <v>433.56738368825694</v>
      </c>
      <c r="E244" s="4">
        <v>190.53728228028493</v>
      </c>
      <c r="F244" s="2" t="s">
        <v>391</v>
      </c>
      <c r="G244">
        <v>91</v>
      </c>
      <c r="H244" s="3" t="str">
        <f>HYPERLINK(".\links\NR-LIGHT\ab-tri_asb-56613-NR-LIGHT.txt","CG16771, isoform A")</f>
        <v>CG16771, isoform A</v>
      </c>
      <c r="I244">
        <v>90</v>
      </c>
      <c r="J244" t="str">
        <f>HYPERLINK("http://www.ncbi.nlm.nih.gov/protein/24585213","gi|24585213")</f>
        <v>gi|24585213</v>
      </c>
    </row>
    <row r="245" spans="1:10" s="5" customFormat="1" x14ac:dyDescent="0.25">
      <c r="A245" s="4" t="s">
        <v>37</v>
      </c>
      <c r="B245" s="4">
        <v>-2.3909537166900421</v>
      </c>
      <c r="C245" s="4">
        <v>8.5801366012105973E-11</v>
      </c>
      <c r="D245" s="4">
        <v>684.99362687290477</v>
      </c>
      <c r="E245" s="4">
        <v>283.90173515536009</v>
      </c>
      <c r="F245" s="2" t="s">
        <v>392</v>
      </c>
      <c r="G245">
        <v>27</v>
      </c>
      <c r="H245" s="3" t="str">
        <f>HYPERLINK(".\links\NR-LIGHT\ab-tri_asb-1487-NR-LIGHT.txt","5' nucleotidase")</f>
        <v>5' nucleotidase</v>
      </c>
      <c r="I245">
        <v>64</v>
      </c>
      <c r="J245" t="str">
        <f>HYPERLINK("http://www.ncbi.nlm.nih.gov/protein/126143295","gi|126143295")</f>
        <v>gi|126143295</v>
      </c>
    </row>
    <row r="246" spans="1:10" s="5" customFormat="1" x14ac:dyDescent="0.25">
      <c r="A246" s="4" t="s">
        <v>189</v>
      </c>
      <c r="B246" s="4">
        <v>-2.5170535047037599</v>
      </c>
      <c r="C246" s="4">
        <v>0</v>
      </c>
      <c r="D246" s="4">
        <v>139731.27984546946</v>
      </c>
      <c r="E246" s="4">
        <v>55014.822280566616</v>
      </c>
      <c r="F246" s="2" t="s">
        <v>393</v>
      </c>
      <c r="G246">
        <v>100</v>
      </c>
      <c r="H246" s="3" t="str">
        <f>HYPERLINK(".\links\NR-LIGHT\ab-tri_asb-54152-NR-LIGHT.txt","Tsal2 form A")</f>
        <v>Tsal2 form A</v>
      </c>
      <c r="I246">
        <v>100</v>
      </c>
      <c r="J246" t="str">
        <f>HYPERLINK("http://www.ncbi.nlm.nih.gov/protein/125901748","gi|125901748")</f>
        <v>gi|125901748</v>
      </c>
    </row>
    <row r="247" spans="1:10" s="5" customFormat="1" x14ac:dyDescent="0.25">
      <c r="A247" s="4" t="s">
        <v>169</v>
      </c>
      <c r="B247" s="4">
        <v>-2.5328816911603536</v>
      </c>
      <c r="C247" s="4">
        <v>0</v>
      </c>
      <c r="D247" s="4">
        <v>99825.246695423994</v>
      </c>
      <c r="E247" s="4">
        <v>39057.459303940188</v>
      </c>
      <c r="F247" s="2" t="s">
        <v>394</v>
      </c>
      <c r="G247">
        <v>100</v>
      </c>
      <c r="H247" s="3" t="str">
        <f>HYPERLINK(".\links\NR-LIGHT\ab-tri_asb-39705-NR-LIGHT.txt","antigen 5 precursor")</f>
        <v>antigen 5 precursor</v>
      </c>
      <c r="I247">
        <v>100</v>
      </c>
      <c r="J247" t="str">
        <f>HYPERLINK("http://www.ncbi.nlm.nih.gov/protein/8927462","gi|8927462")</f>
        <v>gi|8927462</v>
      </c>
    </row>
    <row r="248" spans="1:10" s="5" customFormat="1" x14ac:dyDescent="0.25">
      <c r="A248" s="4" t="s">
        <v>199</v>
      </c>
      <c r="B248" s="4">
        <v>-2.5429774459045169</v>
      </c>
      <c r="C248" s="4">
        <v>0</v>
      </c>
      <c r="D248" s="4">
        <v>20080.847499766256</v>
      </c>
      <c r="E248" s="4">
        <v>7825.5622839539174</v>
      </c>
      <c r="F248" s="2" t="s">
        <v>357</v>
      </c>
      <c r="G248">
        <v>100</v>
      </c>
      <c r="H248" s="3" t="str">
        <f>HYPERLINK(".\links\NR-LIGHT\ab-tri_asb-55716-NR-LIGHT.txt","hypothetical secreted peptide precursor")</f>
        <v>hypothetical secreted peptide precursor</v>
      </c>
      <c r="I248">
        <v>100</v>
      </c>
      <c r="J248" t="str">
        <f>HYPERLINK("http://www.ncbi.nlm.nih.gov/protein/289743923","gi|289743923")</f>
        <v>gi|289743923</v>
      </c>
    </row>
    <row r="249" spans="1:10" s="5" customFormat="1" x14ac:dyDescent="0.25">
      <c r="A249" s="4" t="s">
        <v>84</v>
      </c>
      <c r="B249" s="4">
        <v>-2.5909090909090908</v>
      </c>
      <c r="C249" s="4">
        <v>1</v>
      </c>
      <c r="D249" s="4">
        <v>5.7298629877594855</v>
      </c>
      <c r="E249" s="4">
        <v>2.2380008314556745</v>
      </c>
      <c r="F249" s="2" t="s">
        <v>267</v>
      </c>
      <c r="G249"/>
      <c r="H249" s="3" t="str">
        <f>HYPERLINK(".\links\NR-LIGHT\ab-tri_asb-21776-NR-LIGHT.txt","C19orf28 protein")</f>
        <v>C19orf28 protein</v>
      </c>
      <c r="I249">
        <v>18</v>
      </c>
      <c r="J249" t="str">
        <f>HYPERLINK("http://www.ncbi.nlm.nih.gov/protein/170587442","gi|170587442")</f>
        <v>gi|170587442</v>
      </c>
    </row>
    <row r="250" spans="1:10" s="5" customFormat="1" x14ac:dyDescent="0.25">
      <c r="A250" s="4" t="s">
        <v>201</v>
      </c>
      <c r="B250" s="4">
        <v>-2.6659642666889689</v>
      </c>
      <c r="C250" s="4">
        <v>0</v>
      </c>
      <c r="D250" s="4">
        <v>147295.16942833047</v>
      </c>
      <c r="E250" s="4">
        <v>54753.566142435477</v>
      </c>
      <c r="F250" s="2" t="s">
        <v>395</v>
      </c>
      <c r="G250">
        <v>100</v>
      </c>
      <c r="H250" s="3" t="str">
        <f>HYPERLINK(".\links\NR-LIGHT\ab-tri_asb-55767-NR-LIGHT.txt","Glycine/glutamate-rich protein sgp1; Flags: Precursor")</f>
        <v>Glycine/glutamate-rich protein sgp1; Flags: Precursor</v>
      </c>
      <c r="I250">
        <v>100</v>
      </c>
      <c r="J250" t="str">
        <f>HYPERLINK("http://www.ncbi.nlm.nih.gov/protein/150416150","gi|150416150")</f>
        <v>gi|150416150</v>
      </c>
    </row>
    <row r="251" spans="1:10" s="5" customFormat="1" x14ac:dyDescent="0.25">
      <c r="A251" s="4" t="s">
        <v>74</v>
      </c>
      <c r="B251" s="4">
        <v>-2.7713717693836979</v>
      </c>
      <c r="C251" s="4">
        <v>4.7307661864615103E-4</v>
      </c>
      <c r="D251" s="4">
        <v>140.01444167317106</v>
      </c>
      <c r="E251" s="4">
        <v>50.036535157559278</v>
      </c>
      <c r="F251" s="2" t="s">
        <v>396</v>
      </c>
      <c r="G251">
        <v>40</v>
      </c>
      <c r="H251" s="3" t="str">
        <f>HYPERLINK(".\links\NR-LIGHT\ab-tri_asb-20511-NR-LIGHT.txt","salivary C-type lectin")</f>
        <v>salivary C-type lectin</v>
      </c>
      <c r="I251">
        <v>40</v>
      </c>
      <c r="J251" t="str">
        <f>HYPERLINK("http://www.ncbi.nlm.nih.gov/protein/289742931","gi|289742931")</f>
        <v>gi|289742931</v>
      </c>
    </row>
    <row r="252" spans="1:10" s="5" customFormat="1" x14ac:dyDescent="0.25">
      <c r="A252" s="4" t="s">
        <v>185</v>
      </c>
      <c r="B252" s="4">
        <v>-2.8422584400465656</v>
      </c>
      <c r="C252" s="4">
        <v>1.6683598946798384E-10</v>
      </c>
      <c r="D252" s="4">
        <v>490.47298477841895</v>
      </c>
      <c r="E252" s="4">
        <v>171.0054384890359</v>
      </c>
      <c r="F252" s="2" t="s">
        <v>397</v>
      </c>
      <c r="G252">
        <v>7.6</v>
      </c>
      <c r="H252" s="3" t="str">
        <f>HYPERLINK(".\links\NR-LIGHT\ab-tri_asb-53401-NR-LIGHT.txt","lethal (2) 01289, isoform G")</f>
        <v>lethal (2) 01289, isoform G</v>
      </c>
      <c r="I252">
        <v>41</v>
      </c>
      <c r="J252" t="str">
        <f>HYPERLINK("http://www.ncbi.nlm.nih.gov/protein/281360222","gi|281360222")</f>
        <v>gi|281360222</v>
      </c>
    </row>
    <row r="253" spans="1:10" s="5" customFormat="1" x14ac:dyDescent="0.25">
      <c r="A253" s="4" t="s">
        <v>187</v>
      </c>
      <c r="B253" s="4">
        <v>-2.8587688734030197</v>
      </c>
      <c r="C253" s="4">
        <v>8.6754714523351595E-10</v>
      </c>
      <c r="D253" s="4">
        <v>2472.4851508735646</v>
      </c>
      <c r="E253" s="4">
        <v>857.11753714435156</v>
      </c>
      <c r="F253" s="2" t="s">
        <v>398</v>
      </c>
      <c r="G253">
        <v>15.1</v>
      </c>
      <c r="H253" s="3" t="str">
        <f>HYPERLINK(".\links\NR-LIGHT\ab-tri_asb-53537-NR-LIGHT.txt","5' nucleotidase")</f>
        <v>5' nucleotidase</v>
      </c>
      <c r="I253">
        <v>62</v>
      </c>
      <c r="J253" t="str">
        <f>HYPERLINK("http://www.ncbi.nlm.nih.gov/protein/126143295","gi|126143295")</f>
        <v>gi|126143295</v>
      </c>
    </row>
    <row r="254" spans="1:10" s="5" customFormat="1" x14ac:dyDescent="0.25">
      <c r="A254" s="4" t="s">
        <v>222</v>
      </c>
      <c r="B254" s="4">
        <v>-3.0600600600600605</v>
      </c>
      <c r="C254" s="4">
        <v>6.3282422550259287E-3</v>
      </c>
      <c r="D254" s="4">
        <v>102.37618165282238</v>
      </c>
      <c r="E254" s="4">
        <v>33.197259598846564</v>
      </c>
      <c r="F254" s="2" t="s">
        <v>340</v>
      </c>
      <c r="G254">
        <v>102.1</v>
      </c>
      <c r="H254" s="3" t="str">
        <f>HYPERLINK(".\links\NR-LIGHT\ab-tri_asb-56783-NR-LIGHT.txt","lethal (2) 01810")</f>
        <v>lethal (2) 01810</v>
      </c>
      <c r="I254">
        <v>98</v>
      </c>
      <c r="J254" t="str">
        <f>HYPERLINK("http://www.ncbi.nlm.nih.gov/protein/24583789","gi|24583789")</f>
        <v>gi|24583789</v>
      </c>
    </row>
    <row r="255" spans="1:10" s="5" customFormat="1" x14ac:dyDescent="0.25">
      <c r="A255" s="4" t="s">
        <v>14</v>
      </c>
      <c r="B255" s="4">
        <v>-3.2627737226277378</v>
      </c>
      <c r="C255" s="4">
        <v>1</v>
      </c>
      <c r="D255" s="4">
        <v>44.862280427145627</v>
      </c>
      <c r="E255" s="4">
        <v>13.614683869210216</v>
      </c>
      <c r="F255" s="2" t="s">
        <v>267</v>
      </c>
      <c r="G255"/>
      <c r="H255" s="3" t="str">
        <f>HYPERLINK(".\links\NR-LIGHT\ab-tri_asb-11349-NR-LIGHT.txt","hypothetical protein STRINF_00564")</f>
        <v>hypothetical protein STRINF_00564</v>
      </c>
      <c r="I255">
        <v>28</v>
      </c>
      <c r="J255" t="str">
        <f>HYPERLINK("http://www.ncbi.nlm.nih.gov/protein/171778585","gi|171778585")</f>
        <v>gi|171778585</v>
      </c>
    </row>
    <row r="256" spans="1:10" s="5" customFormat="1" x14ac:dyDescent="0.25">
      <c r="A256" s="4" t="s">
        <v>204</v>
      </c>
      <c r="B256" s="4">
        <v>-3.2668213457076565</v>
      </c>
      <c r="C256" s="4">
        <v>0</v>
      </c>
      <c r="D256" s="4">
        <v>9334.7569666211184</v>
      </c>
      <c r="E256" s="4">
        <v>2831.7340958689297</v>
      </c>
      <c r="F256" s="2" t="s">
        <v>399</v>
      </c>
      <c r="G256">
        <v>100</v>
      </c>
      <c r="H256" s="3" t="str">
        <f>HYPERLINK(".\links\NR-LIGHT\ab-tri_asb-55788-NR-LIGHT.txt","5' nucleotidase")</f>
        <v>5' nucleotidase</v>
      </c>
      <c r="I256">
        <v>98</v>
      </c>
      <c r="J256" t="str">
        <f>HYPERLINK("http://www.ncbi.nlm.nih.gov/protein/126143295","gi|126143295")</f>
        <v>gi|126143295</v>
      </c>
    </row>
    <row r="257" spans="1:10" s="5" customFormat="1" x14ac:dyDescent="0.25">
      <c r="A257" s="4" t="s">
        <v>161</v>
      </c>
      <c r="B257" s="4">
        <v>-3.7431693989071038</v>
      </c>
      <c r="C257" s="4">
        <v>4.6513583497551081E-2</v>
      </c>
      <c r="D257" s="4">
        <v>68.786372807969855</v>
      </c>
      <c r="E257" s="4">
        <v>18.199847798995322</v>
      </c>
      <c r="F257" s="2" t="s">
        <v>267</v>
      </c>
      <c r="G257"/>
      <c r="H257" s="3" t="str">
        <f>HYPERLINK(".\links\NR-LIGHT\ab-tri_asb-37517-NR-LIGHT.txt","hypothetical protein HMPREF8573_2303")</f>
        <v>hypothetical protein HMPREF8573_2303</v>
      </c>
      <c r="I257">
        <v>15</v>
      </c>
      <c r="J257" t="str">
        <f>HYPERLINK("http://www.ncbi.nlm.nih.gov/protein/339613526","gi|339613526")</f>
        <v>gi|339613526</v>
      </c>
    </row>
    <row r="258" spans="1:10" s="5" customFormat="1" x14ac:dyDescent="0.25">
      <c r="A258" s="4" t="s">
        <v>243</v>
      </c>
      <c r="B258" s="4">
        <v>-3.7472035794183443</v>
      </c>
      <c r="C258" s="4">
        <v>1.0725170751513247E-9</v>
      </c>
      <c r="D258" s="4">
        <v>168.2080234204399</v>
      </c>
      <c r="E258" s="4">
        <v>44.494616640827246</v>
      </c>
      <c r="F258" s="2" t="s">
        <v>400</v>
      </c>
      <c r="G258">
        <v>8.9</v>
      </c>
      <c r="H258" s="3" t="str">
        <f>HYPERLINK(".\links\NR-LIGHT\ab-tri_asb-7180-NR-LIGHT.txt","adenosine deaminase-related growth factor C")</f>
        <v>adenosine deaminase-related growth factor C</v>
      </c>
      <c r="I258">
        <v>10</v>
      </c>
      <c r="J258" t="str">
        <f>HYPERLINK("http://www.ncbi.nlm.nih.gov/protein/289742689","gi|289742689")</f>
        <v>gi|289742689</v>
      </c>
    </row>
    <row r="259" spans="1:10" s="5" customFormat="1" x14ac:dyDescent="0.25">
      <c r="A259" s="4" t="s">
        <v>163</v>
      </c>
      <c r="B259" s="4">
        <v>-3.8153347732181428</v>
      </c>
      <c r="C259" s="4">
        <v>0</v>
      </c>
      <c r="D259" s="4">
        <v>709.7690000003945</v>
      </c>
      <c r="E259" s="4">
        <v>184.39642669504545</v>
      </c>
      <c r="F259" s="2" t="s">
        <v>401</v>
      </c>
      <c r="G259">
        <v>47.2</v>
      </c>
      <c r="H259" s="3" t="str">
        <f>HYPERLINK(".\links\NR-LIGHT\ab-tri_asb-3777-NR-LIGHT.txt","unnamed protein product")</f>
        <v>unnamed protein product</v>
      </c>
      <c r="I259">
        <v>74</v>
      </c>
      <c r="J259" t="str">
        <f>HYPERLINK("http://www.ncbi.nlm.nih.gov/protein/152969551","gi|152969551")</f>
        <v>gi|152969551</v>
      </c>
    </row>
    <row r="260" spans="1:10" s="5" customFormat="1" x14ac:dyDescent="0.25">
      <c r="A260" s="4" t="s">
        <v>12</v>
      </c>
      <c r="B260" s="4">
        <v>-4.0571550437193435</v>
      </c>
      <c r="C260" s="4">
        <v>0</v>
      </c>
      <c r="D260" s="4">
        <v>9554.9192292346215</v>
      </c>
      <c r="E260" s="4">
        <v>2333.8983257298542</v>
      </c>
      <c r="F260" s="2" t="s">
        <v>396</v>
      </c>
      <c r="G260">
        <v>60</v>
      </c>
      <c r="H260" s="3" t="str">
        <f>HYPERLINK(".\links\NR-LIGHT\ab-tri_asb-11227-NR-LIGHT.txt","lectin")</f>
        <v>lectin</v>
      </c>
      <c r="I260">
        <v>100</v>
      </c>
      <c r="J260" t="str">
        <f>HYPERLINK("http://www.ncbi.nlm.nih.gov/protein/289742917","gi|289742917")</f>
        <v>gi|289742917</v>
      </c>
    </row>
    <row r="261" spans="1:10" s="5" customFormat="1" x14ac:dyDescent="0.25">
      <c r="A261" s="4" t="s">
        <v>116</v>
      </c>
      <c r="B261" s="4">
        <v>-4.090692068789691</v>
      </c>
      <c r="C261" s="4">
        <v>0</v>
      </c>
      <c r="D261" s="4">
        <v>70917.579735223859</v>
      </c>
      <c r="E261" s="4">
        <v>17180.511553273249</v>
      </c>
      <c r="F261" s="2" t="s">
        <v>344</v>
      </c>
      <c r="G261">
        <v>119</v>
      </c>
      <c r="H261" s="3" t="str">
        <f>HYPERLINK(".\links\NR-LIGHT\ab-tri_asb-26754-NR-LIGHT.txt","Tsal1 protein precursor")</f>
        <v>Tsal1 protein precursor</v>
      </c>
      <c r="I261">
        <v>100</v>
      </c>
      <c r="J261" t="str">
        <f>HYPERLINK("http://www.ncbi.nlm.nih.gov/protein/289743635","gi|289743635")</f>
        <v>gi|289743635</v>
      </c>
    </row>
    <row r="262" spans="1:10" s="5" customFormat="1" x14ac:dyDescent="0.25">
      <c r="A262" s="4" t="s">
        <v>95</v>
      </c>
      <c r="B262" s="4">
        <v>-4.666666666666667</v>
      </c>
      <c r="C262" s="4">
        <v>1</v>
      </c>
      <c r="D262" s="4">
        <v>35.115411265172803</v>
      </c>
      <c r="E262" s="4">
        <v>7.510091361556257</v>
      </c>
      <c r="F262" s="2" t="s">
        <v>267</v>
      </c>
      <c r="G262"/>
      <c r="H262" s="3" t="str">
        <f>HYPERLINK(".\links\NR-LIGHT\ab-tri_asb-23619-NR-LIGHT.txt","leukotriene C4 synthase, isoform CRA_b")</f>
        <v>leukotriene C4 synthase, isoform CRA_b</v>
      </c>
      <c r="I262">
        <v>64</v>
      </c>
      <c r="J262" t="str">
        <f>HYPERLINK("http://www.ncbi.nlm.nih.gov/protein/119574182","gi|119574182")</f>
        <v>gi|119574182</v>
      </c>
    </row>
    <row r="263" spans="1:10" s="5" customFormat="1" x14ac:dyDescent="0.25">
      <c r="A263" s="4" t="s">
        <v>203</v>
      </c>
      <c r="B263" s="4">
        <v>-5.0177572943847633</v>
      </c>
      <c r="C263" s="4">
        <v>0</v>
      </c>
      <c r="D263" s="4">
        <v>14873.791795796071</v>
      </c>
      <c r="E263" s="4">
        <v>2937.604346662677</v>
      </c>
      <c r="F263" s="2" t="s">
        <v>351</v>
      </c>
      <c r="G263">
        <v>96.3</v>
      </c>
      <c r="H263" s="3" t="str">
        <f>HYPERLINK(".\links\NR-LIGHT\ab-tri_asb-55787-NR-LIGHT.txt","5'-nucleotidase family salivary protein")</f>
        <v>5'-nucleotidase family salivary protein</v>
      </c>
      <c r="I263">
        <v>100</v>
      </c>
      <c r="J263" t="str">
        <f>HYPERLINK("http://www.ncbi.nlm.nih.gov/protein/289743375","gi|289743375")</f>
        <v>gi|289743375</v>
      </c>
    </row>
    <row r="264" spans="1:10" x14ac:dyDescent="0.25">
      <c r="A264" s="4" t="s">
        <v>186</v>
      </c>
      <c r="B264" s="4">
        <v>-6.0677279305354563</v>
      </c>
      <c r="C264" s="4">
        <v>0</v>
      </c>
      <c r="D264" s="4">
        <v>4211.7405327819606</v>
      </c>
      <c r="E264" s="4">
        <v>687.85249170059592</v>
      </c>
      <c r="F264" s="2" t="s">
        <v>402</v>
      </c>
      <c r="G264">
        <v>100</v>
      </c>
      <c r="H264" s="3" t="str">
        <f>HYPERLINK(".\links\NR-LIGHT\ab-tri_asb-53459-NR-LIGHT.txt","hypothetical conserved secreted protein")</f>
        <v>hypothetical conserved secreted protein</v>
      </c>
      <c r="I264">
        <v>100</v>
      </c>
      <c r="J264" t="str">
        <f>HYPERLINK("http://www.ncbi.nlm.nih.gov/protein/289743789","gi|289743789")</f>
        <v>gi|289743789</v>
      </c>
    </row>
  </sheetData>
  <autoFilter ref="A1:J1">
    <sortState ref="A2:EL264">
      <sortCondition descending="1" ref="B1"/>
    </sortState>
  </autoFilter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Negative  vs. Positive (ab-...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Xin</cp:lastModifiedBy>
  <dcterms:created xsi:type="dcterms:W3CDTF">2012-08-05T15:22:30Z</dcterms:created>
  <dcterms:modified xsi:type="dcterms:W3CDTF">2013-09-08T17:53:54Z</dcterms:modified>
</cp:coreProperties>
</file>