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0" yWindow="45" windowWidth="19230" windowHeight="9915" tabRatio="809" activeTab="1"/>
  </bookViews>
  <sheets>
    <sheet name="Sorted by Region" sheetId="4" r:id="rId1"/>
    <sheet name="assumptions" sheetId="5" r:id="rId2"/>
  </sheets>
  <calcPr calcId="145621"/>
</workbook>
</file>

<file path=xl/calcChain.xml><?xml version="1.0" encoding="utf-8"?>
<calcChain xmlns="http://schemas.openxmlformats.org/spreadsheetml/2006/main">
  <c r="C21" i="5" l="1"/>
  <c r="H10" i="5" l="1"/>
  <c r="H9" i="5"/>
  <c r="H8" i="5"/>
  <c r="H7" i="5"/>
  <c r="J173" i="4"/>
  <c r="J174" i="4"/>
  <c r="K174" i="4" s="1"/>
  <c r="J175" i="4"/>
  <c r="N175" i="4" s="1"/>
  <c r="J176" i="4"/>
  <c r="K176" i="4" s="1"/>
  <c r="J177" i="4"/>
  <c r="J178" i="4"/>
  <c r="K178" i="4" s="1"/>
  <c r="J179" i="4"/>
  <c r="N179" i="4" s="1"/>
  <c r="J180" i="4"/>
  <c r="K180" i="4" s="1"/>
  <c r="J181" i="4"/>
  <c r="O181" i="4" s="1"/>
  <c r="J182" i="4"/>
  <c r="K182" i="4" s="1"/>
  <c r="G183" i="4"/>
  <c r="J183" i="4" s="1"/>
  <c r="F208" i="4"/>
  <c r="F184" i="4" s="1"/>
  <c r="J184" i="4"/>
  <c r="G185" i="4"/>
  <c r="I185" i="4" s="1"/>
  <c r="J186" i="4"/>
  <c r="J187" i="4"/>
  <c r="J188" i="4"/>
  <c r="G189" i="4"/>
  <c r="G190" i="4"/>
  <c r="J190" i="4" s="1"/>
  <c r="J191" i="4"/>
  <c r="J192" i="4"/>
  <c r="G193" i="4"/>
  <c r="J193" i="4" s="1"/>
  <c r="J194" i="4"/>
  <c r="J195" i="4"/>
  <c r="J196" i="4"/>
  <c r="G197" i="4"/>
  <c r="I197" i="4" s="1"/>
  <c r="J198" i="4"/>
  <c r="J199" i="4"/>
  <c r="J161" i="4"/>
  <c r="J162" i="4"/>
  <c r="K162" i="4" s="1"/>
  <c r="J163" i="4"/>
  <c r="K163" i="4" s="1"/>
  <c r="J164" i="4"/>
  <c r="K164" i="4" s="1"/>
  <c r="J165" i="4"/>
  <c r="K165" i="4" s="1"/>
  <c r="J166" i="4"/>
  <c r="K166" i="4" s="1"/>
  <c r="J167" i="4"/>
  <c r="K167" i="4" s="1"/>
  <c r="F207" i="4"/>
  <c r="F168" i="4" s="1"/>
  <c r="J168" i="4"/>
  <c r="J169" i="4"/>
  <c r="J170" i="4"/>
  <c r="J171" i="4"/>
  <c r="J107" i="4"/>
  <c r="O107" i="4" s="1"/>
  <c r="J108" i="4"/>
  <c r="N108" i="4" s="1"/>
  <c r="J109" i="4"/>
  <c r="O109" i="4" s="1"/>
  <c r="J110" i="4"/>
  <c r="O110" i="4" s="1"/>
  <c r="J111" i="4"/>
  <c r="J112" i="4"/>
  <c r="N112" i="4" s="1"/>
  <c r="J113" i="4"/>
  <c r="N113" i="4" s="1"/>
  <c r="J114" i="4"/>
  <c r="O114" i="4" s="1"/>
  <c r="J115" i="4"/>
  <c r="J116" i="4"/>
  <c r="N116" i="4" s="1"/>
  <c r="J117" i="4"/>
  <c r="K117" i="4" s="1"/>
  <c r="J118" i="4"/>
  <c r="O118" i="4" s="1"/>
  <c r="J119" i="4"/>
  <c r="F206" i="4"/>
  <c r="F120" i="4" s="1"/>
  <c r="G120" i="4"/>
  <c r="J120" i="4" s="1"/>
  <c r="J121" i="4"/>
  <c r="J122" i="4"/>
  <c r="J123" i="4"/>
  <c r="J124" i="4"/>
  <c r="J125" i="4"/>
  <c r="J126" i="4"/>
  <c r="J127" i="4"/>
  <c r="J128" i="4"/>
  <c r="J129" i="4"/>
  <c r="J130" i="4"/>
  <c r="J131" i="4"/>
  <c r="J132" i="4"/>
  <c r="J133" i="4"/>
  <c r="J134" i="4"/>
  <c r="J135" i="4"/>
  <c r="J136" i="4"/>
  <c r="J137" i="4"/>
  <c r="J138" i="4"/>
  <c r="J139" i="4"/>
  <c r="J140" i="4"/>
  <c r="J141" i="4"/>
  <c r="J142" i="4"/>
  <c r="J143" i="4"/>
  <c r="G144" i="4"/>
  <c r="J144" i="4" s="1"/>
  <c r="J145" i="4"/>
  <c r="J146" i="4"/>
  <c r="J147" i="4"/>
  <c r="J148" i="4"/>
  <c r="J149" i="4"/>
  <c r="J150" i="4"/>
  <c r="J151" i="4"/>
  <c r="J152" i="4"/>
  <c r="J153" i="4"/>
  <c r="J154" i="4"/>
  <c r="J155" i="4"/>
  <c r="G156" i="4"/>
  <c r="J156" i="4" s="1"/>
  <c r="J157" i="4"/>
  <c r="J158" i="4"/>
  <c r="J159" i="4"/>
  <c r="J85" i="4"/>
  <c r="K85" i="4" s="1"/>
  <c r="J86" i="4"/>
  <c r="O86" i="4" s="1"/>
  <c r="J87" i="4"/>
  <c r="K87" i="4" s="1"/>
  <c r="J88" i="4"/>
  <c r="K88" i="4" s="1"/>
  <c r="J89" i="4"/>
  <c r="O89" i="4" s="1"/>
  <c r="J90" i="4"/>
  <c r="N90" i="4" s="1"/>
  <c r="J91" i="4"/>
  <c r="K91" i="4" s="1"/>
  <c r="F205" i="4"/>
  <c r="F92" i="4" s="1"/>
  <c r="J92" i="4"/>
  <c r="J93" i="4"/>
  <c r="J94" i="4"/>
  <c r="J95" i="4"/>
  <c r="J96" i="4"/>
  <c r="J97" i="4"/>
  <c r="J98" i="4"/>
  <c r="J99" i="4"/>
  <c r="J100" i="4"/>
  <c r="J101" i="4"/>
  <c r="J102" i="4"/>
  <c r="J103" i="4"/>
  <c r="J104" i="4"/>
  <c r="J105" i="4"/>
  <c r="J49" i="4"/>
  <c r="O49" i="4" s="1"/>
  <c r="J50" i="4"/>
  <c r="O50" i="4" s="1"/>
  <c r="J51" i="4"/>
  <c r="O51" i="4" s="1"/>
  <c r="J52" i="4"/>
  <c r="K52" i="4" s="1"/>
  <c r="J53" i="4"/>
  <c r="K53" i="4" s="1"/>
  <c r="J54" i="4"/>
  <c r="O54" i="4" s="1"/>
  <c r="J55" i="4"/>
  <c r="K55" i="4" s="1"/>
  <c r="J56" i="4"/>
  <c r="O56" i="4" s="1"/>
  <c r="G57" i="4"/>
  <c r="J57" i="4" s="1"/>
  <c r="J58" i="4"/>
  <c r="K58" i="4" s="1"/>
  <c r="J59" i="4"/>
  <c r="K59" i="4" s="1"/>
  <c r="J60" i="4"/>
  <c r="K60" i="4" s="1"/>
  <c r="J61" i="4"/>
  <c r="N61" i="4" s="1"/>
  <c r="J62" i="4"/>
  <c r="O62" i="4" s="1"/>
  <c r="J63" i="4"/>
  <c r="K63" i="4" s="1"/>
  <c r="J64" i="4"/>
  <c r="O64" i="4" s="1"/>
  <c r="J65" i="4"/>
  <c r="K65" i="4" s="1"/>
  <c r="J66" i="4"/>
  <c r="K66" i="4" s="1"/>
  <c r="J67" i="4"/>
  <c r="O67" i="4" s="1"/>
  <c r="J68" i="4"/>
  <c r="N68" i="4" s="1"/>
  <c r="J69" i="4"/>
  <c r="K69" i="4" s="1"/>
  <c r="F204" i="4"/>
  <c r="F79" i="4" s="1"/>
  <c r="J70" i="4"/>
  <c r="J71" i="4"/>
  <c r="J72" i="4"/>
  <c r="J73" i="4"/>
  <c r="J74" i="4"/>
  <c r="J75" i="4"/>
  <c r="G76" i="4"/>
  <c r="J76" i="4" s="1"/>
  <c r="J77" i="4"/>
  <c r="J78" i="4"/>
  <c r="J79" i="4"/>
  <c r="J80" i="4"/>
  <c r="J81" i="4"/>
  <c r="J82" i="4"/>
  <c r="J83" i="4"/>
  <c r="G2" i="4"/>
  <c r="J2" i="4" s="1"/>
  <c r="N2" i="4" s="1"/>
  <c r="J3" i="4"/>
  <c r="K3" i="4" s="1"/>
  <c r="J4" i="4"/>
  <c r="J5" i="4"/>
  <c r="O5" i="4" s="1"/>
  <c r="J6" i="4"/>
  <c r="O6" i="4" s="1"/>
  <c r="J7" i="4"/>
  <c r="O7" i="4" s="1"/>
  <c r="J8" i="4"/>
  <c r="O8" i="4" s="1"/>
  <c r="J9" i="4"/>
  <c r="O9" i="4" s="1"/>
  <c r="J10" i="4"/>
  <c r="O10" i="4" s="1"/>
  <c r="J11" i="4"/>
  <c r="K11" i="4" s="1"/>
  <c r="J12" i="4"/>
  <c r="J13" i="4"/>
  <c r="N13" i="4" s="1"/>
  <c r="J14" i="4"/>
  <c r="O14" i="4" s="1"/>
  <c r="J15" i="4"/>
  <c r="O15" i="4" s="1"/>
  <c r="J16" i="4"/>
  <c r="O16" i="4" s="1"/>
  <c r="J17" i="4"/>
  <c r="O17" i="4" s="1"/>
  <c r="J18" i="4"/>
  <c r="O18" i="4" s="1"/>
  <c r="J19" i="4"/>
  <c r="K19" i="4" s="1"/>
  <c r="J20" i="4"/>
  <c r="J21" i="4"/>
  <c r="K21" i="4" s="1"/>
  <c r="J22" i="4"/>
  <c r="O22" i="4" s="1"/>
  <c r="J23" i="4"/>
  <c r="O23" i="4" s="1"/>
  <c r="J24" i="4"/>
  <c r="O24" i="4" s="1"/>
  <c r="J25" i="4"/>
  <c r="O25" i="4" s="1"/>
  <c r="J26" i="4"/>
  <c r="O26" i="4" s="1"/>
  <c r="J27" i="4"/>
  <c r="K27" i="4" s="1"/>
  <c r="J28" i="4"/>
  <c r="J29" i="4"/>
  <c r="O29" i="4" s="1"/>
  <c r="J30" i="4"/>
  <c r="O30" i="4" s="1"/>
  <c r="J31" i="4"/>
  <c r="N31" i="4" s="1"/>
  <c r="J32" i="4"/>
  <c r="O32" i="4" s="1"/>
  <c r="J33" i="4"/>
  <c r="N33" i="4" s="1"/>
  <c r="J34" i="4"/>
  <c r="O34" i="4" s="1"/>
  <c r="J35" i="4"/>
  <c r="J36" i="4"/>
  <c r="J37" i="4"/>
  <c r="N37" i="4" s="1"/>
  <c r="J38" i="4"/>
  <c r="O38" i="4" s="1"/>
  <c r="J39" i="4"/>
  <c r="F203" i="4"/>
  <c r="F40" i="4" s="1"/>
  <c r="J40" i="4"/>
  <c r="J41" i="4"/>
  <c r="J42" i="4"/>
  <c r="J43" i="4"/>
  <c r="J44" i="4"/>
  <c r="J45" i="4"/>
  <c r="J46" i="4"/>
  <c r="J47" i="4"/>
  <c r="H201" i="4"/>
  <c r="I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5" i="4"/>
  <c r="I146" i="4"/>
  <c r="I147" i="4"/>
  <c r="I148" i="4"/>
  <c r="I149" i="4"/>
  <c r="I150" i="4"/>
  <c r="I151" i="4"/>
  <c r="I152" i="4"/>
  <c r="I153" i="4"/>
  <c r="I154" i="4"/>
  <c r="I155" i="4"/>
  <c r="I157" i="4"/>
  <c r="I158" i="4"/>
  <c r="I159" i="4"/>
  <c r="I49" i="4"/>
  <c r="I50" i="4"/>
  <c r="I51" i="4"/>
  <c r="I52" i="4"/>
  <c r="I53" i="4"/>
  <c r="I54" i="4"/>
  <c r="I55" i="4"/>
  <c r="I56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7" i="4"/>
  <c r="I78" i="4"/>
  <c r="I79" i="4"/>
  <c r="I80" i="4"/>
  <c r="I81" i="4"/>
  <c r="I82" i="4"/>
  <c r="I83" i="4"/>
  <c r="I161" i="4"/>
  <c r="I162" i="4"/>
  <c r="I163" i="4"/>
  <c r="I164" i="4"/>
  <c r="I165" i="4"/>
  <c r="I166" i="4"/>
  <c r="I167" i="4"/>
  <c r="I168" i="4"/>
  <c r="I169" i="4"/>
  <c r="I170" i="4"/>
  <c r="I171" i="4"/>
  <c r="I173" i="4"/>
  <c r="I174" i="4"/>
  <c r="I175" i="4"/>
  <c r="I176" i="4"/>
  <c r="I177" i="4"/>
  <c r="I178" i="4"/>
  <c r="I179" i="4"/>
  <c r="I180" i="4"/>
  <c r="I181" i="4"/>
  <c r="I182" i="4"/>
  <c r="I184" i="4"/>
  <c r="I186" i="4"/>
  <c r="I187" i="4"/>
  <c r="I188" i="4"/>
  <c r="I191" i="4"/>
  <c r="I192" i="4"/>
  <c r="I194" i="4"/>
  <c r="I195" i="4"/>
  <c r="I196" i="4"/>
  <c r="I198" i="4"/>
  <c r="I199" i="4"/>
  <c r="M201" i="4"/>
  <c r="L203" i="4"/>
  <c r="L202" i="4"/>
  <c r="L208" i="4"/>
  <c r="L207" i="4"/>
  <c r="L206" i="4"/>
  <c r="L205" i="4"/>
  <c r="L204" i="4"/>
  <c r="H11" i="5" l="1"/>
  <c r="F6" i="5"/>
  <c r="O31" i="4"/>
  <c r="F45" i="4"/>
  <c r="O45" i="4" s="1"/>
  <c r="F43" i="4"/>
  <c r="K43" i="4" s="1"/>
  <c r="K8" i="4"/>
  <c r="N67" i="4"/>
  <c r="N32" i="4"/>
  <c r="F99" i="4"/>
  <c r="N99" i="4" s="1"/>
  <c r="F97" i="4"/>
  <c r="N97" i="4" s="1"/>
  <c r="K15" i="4"/>
  <c r="F44" i="4"/>
  <c r="N44" i="4" s="1"/>
  <c r="N15" i="4"/>
  <c r="F197" i="4"/>
  <c r="F47" i="4"/>
  <c r="O47" i="4" s="1"/>
  <c r="I156" i="4"/>
  <c r="N16" i="4"/>
  <c r="O116" i="4"/>
  <c r="F100" i="4"/>
  <c r="N100" i="4" s="1"/>
  <c r="N66" i="4"/>
  <c r="F105" i="4"/>
  <c r="K105" i="4" s="1"/>
  <c r="K32" i="4"/>
  <c r="F98" i="4"/>
  <c r="N98" i="4" s="1"/>
  <c r="I190" i="4"/>
  <c r="O40" i="4"/>
  <c r="F198" i="4"/>
  <c r="O198" i="4" s="1"/>
  <c r="N49" i="4"/>
  <c r="K6" i="4"/>
  <c r="K22" i="4"/>
  <c r="K2" i="4"/>
  <c r="F195" i="4"/>
  <c r="K195" i="4" s="1"/>
  <c r="K5" i="4"/>
  <c r="N180" i="4"/>
  <c r="O60" i="4"/>
  <c r="F187" i="4"/>
  <c r="K187" i="4" s="1"/>
  <c r="I2" i="4"/>
  <c r="N21" i="4"/>
  <c r="N6" i="4"/>
  <c r="N91" i="4"/>
  <c r="F190" i="4"/>
  <c r="O190" i="4" s="1"/>
  <c r="N5" i="4"/>
  <c r="O180" i="4"/>
  <c r="O98" i="4"/>
  <c r="N69" i="4"/>
  <c r="K49" i="4"/>
  <c r="K114" i="4"/>
  <c r="N22" i="4"/>
  <c r="N10" i="4"/>
  <c r="O69" i="4"/>
  <c r="K112" i="4"/>
  <c r="K98" i="4"/>
  <c r="N174" i="4"/>
  <c r="O91" i="4"/>
  <c r="O174" i="4"/>
  <c r="N65" i="4"/>
  <c r="F95" i="4"/>
  <c r="N95" i="4" s="1"/>
  <c r="F103" i="4"/>
  <c r="N103" i="4" s="1"/>
  <c r="K54" i="4"/>
  <c r="O2" i="4"/>
  <c r="F96" i="4"/>
  <c r="K96" i="4" s="1"/>
  <c r="F104" i="4"/>
  <c r="O104" i="4" s="1"/>
  <c r="O66" i="4"/>
  <c r="O100" i="4"/>
  <c r="N51" i="4"/>
  <c r="I76" i="4"/>
  <c r="F93" i="4"/>
  <c r="O93" i="4" s="1"/>
  <c r="F101" i="4"/>
  <c r="O101" i="4" s="1"/>
  <c r="K29" i="4"/>
  <c r="F132" i="4"/>
  <c r="O132" i="4" s="1"/>
  <c r="F94" i="4"/>
  <c r="O94" i="4" s="1"/>
  <c r="F102" i="4"/>
  <c r="F192" i="4"/>
  <c r="N192" i="4" s="1"/>
  <c r="N89" i="4"/>
  <c r="O163" i="4"/>
  <c r="F154" i="4"/>
  <c r="N154" i="4" s="1"/>
  <c r="K89" i="4"/>
  <c r="O85" i="4"/>
  <c r="K67" i="4"/>
  <c r="N63" i="4"/>
  <c r="K56" i="4"/>
  <c r="K18" i="4"/>
  <c r="K37" i="4"/>
  <c r="F136" i="4"/>
  <c r="N136" i="4" s="1"/>
  <c r="F155" i="4"/>
  <c r="K155" i="4" s="1"/>
  <c r="N26" i="4"/>
  <c r="N56" i="4"/>
  <c r="F144" i="4"/>
  <c r="K144" i="4" s="1"/>
  <c r="N55" i="4"/>
  <c r="K86" i="4"/>
  <c r="K7" i="4"/>
  <c r="K16" i="4"/>
  <c r="F125" i="4"/>
  <c r="O125" i="4" s="1"/>
  <c r="F145" i="4"/>
  <c r="O145" i="4" s="1"/>
  <c r="N29" i="4"/>
  <c r="N18" i="4"/>
  <c r="N8" i="4"/>
  <c r="N85" i="4"/>
  <c r="O59" i="4"/>
  <c r="N92" i="4"/>
  <c r="K13" i="4"/>
  <c r="K108" i="4"/>
  <c r="F124" i="4"/>
  <c r="O124" i="4" s="1"/>
  <c r="F135" i="4"/>
  <c r="K135" i="4" s="1"/>
  <c r="F128" i="4"/>
  <c r="N128" i="4" s="1"/>
  <c r="F139" i="4"/>
  <c r="N139" i="4" s="1"/>
  <c r="F149" i="4"/>
  <c r="O149" i="4" s="1"/>
  <c r="F158" i="4"/>
  <c r="K158" i="4" s="1"/>
  <c r="N182" i="4"/>
  <c r="O61" i="4"/>
  <c r="O166" i="4"/>
  <c r="K61" i="4"/>
  <c r="K120" i="4"/>
  <c r="N34" i="4"/>
  <c r="N59" i="4"/>
  <c r="N86" i="4"/>
  <c r="N163" i="4"/>
  <c r="N176" i="4"/>
  <c r="O21" i="4"/>
  <c r="O108" i="4"/>
  <c r="F140" i="4"/>
  <c r="N140" i="4" s="1"/>
  <c r="F152" i="4"/>
  <c r="N152" i="4" s="1"/>
  <c r="F142" i="4"/>
  <c r="K142" i="4" s="1"/>
  <c r="O58" i="4"/>
  <c r="K17" i="4"/>
  <c r="K116" i="4"/>
  <c r="F131" i="4"/>
  <c r="O131" i="4" s="1"/>
  <c r="F127" i="4"/>
  <c r="F138" i="4"/>
  <c r="N138" i="4" s="1"/>
  <c r="F148" i="4"/>
  <c r="O148" i="4" s="1"/>
  <c r="F157" i="4"/>
  <c r="N58" i="4"/>
  <c r="K23" i="4"/>
  <c r="K34" i="4"/>
  <c r="F130" i="4"/>
  <c r="F137" i="4"/>
  <c r="F146" i="4"/>
  <c r="F156" i="4"/>
  <c r="N167" i="4"/>
  <c r="O112" i="4"/>
  <c r="O182" i="4"/>
  <c r="K40" i="4"/>
  <c r="F122" i="4"/>
  <c r="N122" i="4" s="1"/>
  <c r="N57" i="4"/>
  <c r="K57" i="4"/>
  <c r="O57" i="4"/>
  <c r="K79" i="4"/>
  <c r="O79" i="4"/>
  <c r="K92" i="4"/>
  <c r="F169" i="4"/>
  <c r="K169" i="4" s="1"/>
  <c r="N109" i="4"/>
  <c r="N178" i="4"/>
  <c r="O37" i="4"/>
  <c r="O117" i="4"/>
  <c r="K9" i="4"/>
  <c r="K14" i="4"/>
  <c r="K24" i="4"/>
  <c r="K31" i="4"/>
  <c r="K38" i="4"/>
  <c r="K109" i="4"/>
  <c r="F191" i="4"/>
  <c r="K191" i="4" s="1"/>
  <c r="I193" i="4"/>
  <c r="N38" i="4"/>
  <c r="N24" i="4"/>
  <c r="N14" i="4"/>
  <c r="N7" i="4"/>
  <c r="N54" i="4"/>
  <c r="N117" i="4"/>
  <c r="O13" i="4"/>
  <c r="O113" i="4"/>
  <c r="O162" i="4"/>
  <c r="O178" i="4"/>
  <c r="N40" i="4"/>
  <c r="F170" i="4"/>
  <c r="O65" i="4"/>
  <c r="K90" i="4"/>
  <c r="K113" i="4"/>
  <c r="I57" i="4"/>
  <c r="I144" i="4"/>
  <c r="I120" i="4"/>
  <c r="O164" i="4"/>
  <c r="O92" i="4"/>
  <c r="O90" i="4"/>
  <c r="N168" i="4"/>
  <c r="O63" i="4"/>
  <c r="F199" i="4"/>
  <c r="K199" i="4" s="1"/>
  <c r="K10" i="4"/>
  <c r="K26" i="4"/>
  <c r="F196" i="4"/>
  <c r="K196" i="4" s="1"/>
  <c r="F186" i="4"/>
  <c r="N186" i="4" s="1"/>
  <c r="N30" i="4"/>
  <c r="N23" i="4"/>
  <c r="N17" i="4"/>
  <c r="N164" i="4"/>
  <c r="O176" i="4"/>
  <c r="F150" i="4"/>
  <c r="O150" i="4" s="1"/>
  <c r="F123" i="4"/>
  <c r="F121" i="4"/>
  <c r="O184" i="4"/>
  <c r="K184" i="4"/>
  <c r="N184" i="4"/>
  <c r="O39" i="4"/>
  <c r="N39" i="4"/>
  <c r="F80" i="4"/>
  <c r="F82" i="4"/>
  <c r="F72" i="4"/>
  <c r="F76" i="4"/>
  <c r="F70" i="4"/>
  <c r="F81" i="4"/>
  <c r="F73" i="4"/>
  <c r="F83" i="4"/>
  <c r="N62" i="4"/>
  <c r="K62" i="4"/>
  <c r="N177" i="4"/>
  <c r="K177" i="4"/>
  <c r="N20" i="4"/>
  <c r="K20" i="4"/>
  <c r="O20" i="4"/>
  <c r="N4" i="4"/>
  <c r="K4" i="4"/>
  <c r="O4" i="4"/>
  <c r="K68" i="4"/>
  <c r="O68" i="4"/>
  <c r="O119" i="4"/>
  <c r="K119" i="4"/>
  <c r="N119" i="4"/>
  <c r="K107" i="4"/>
  <c r="N107" i="4"/>
  <c r="N28" i="4"/>
  <c r="K28" i="4"/>
  <c r="O28" i="4"/>
  <c r="N12" i="4"/>
  <c r="K12" i="4"/>
  <c r="O12" i="4"/>
  <c r="N64" i="4"/>
  <c r="K64" i="4"/>
  <c r="N53" i="4"/>
  <c r="O53" i="4"/>
  <c r="O168" i="4"/>
  <c r="K168" i="4"/>
  <c r="K179" i="4"/>
  <c r="O179" i="4"/>
  <c r="K118" i="4"/>
  <c r="F77" i="4"/>
  <c r="N9" i="4"/>
  <c r="N114" i="4"/>
  <c r="O177" i="4"/>
  <c r="N60" i="4"/>
  <c r="F75" i="4"/>
  <c r="K50" i="4"/>
  <c r="K39" i="4"/>
  <c r="K110" i="4"/>
  <c r="I183" i="4"/>
  <c r="N118" i="4"/>
  <c r="N110" i="4"/>
  <c r="O35" i="4"/>
  <c r="N35" i="4"/>
  <c r="O19" i="4"/>
  <c r="N19" i="4"/>
  <c r="O3" i="4"/>
  <c r="N3" i="4"/>
  <c r="O87" i="4"/>
  <c r="N87" i="4"/>
  <c r="O161" i="4"/>
  <c r="N161" i="4"/>
  <c r="N36" i="4"/>
  <c r="K36" i="4"/>
  <c r="O36" i="4"/>
  <c r="N88" i="4"/>
  <c r="O88" i="4"/>
  <c r="O115" i="4"/>
  <c r="K115" i="4"/>
  <c r="N115" i="4"/>
  <c r="O111" i="4"/>
  <c r="K111" i="4"/>
  <c r="N111" i="4"/>
  <c r="N183" i="4"/>
  <c r="O183" i="4"/>
  <c r="K175" i="4"/>
  <c r="O175" i="4"/>
  <c r="O33" i="4"/>
  <c r="K33" i="4"/>
  <c r="O27" i="4"/>
  <c r="N27" i="4"/>
  <c r="O11" i="4"/>
  <c r="N11" i="4"/>
  <c r="O52" i="4"/>
  <c r="N52" i="4"/>
  <c r="N120" i="4"/>
  <c r="O120" i="4"/>
  <c r="O165" i="4"/>
  <c r="N165" i="4"/>
  <c r="J189" i="4"/>
  <c r="I189" i="4"/>
  <c r="F185" i="4"/>
  <c r="F193" i="4"/>
  <c r="F188" i="4"/>
  <c r="F194" i="4"/>
  <c r="F189" i="4"/>
  <c r="N181" i="4"/>
  <c r="K181" i="4"/>
  <c r="O173" i="4"/>
  <c r="N173" i="4"/>
  <c r="K173" i="4"/>
  <c r="N79" i="4"/>
  <c r="F78" i="4"/>
  <c r="N25" i="4"/>
  <c r="K161" i="4"/>
  <c r="J197" i="4"/>
  <c r="K25" i="4"/>
  <c r="K30" i="4"/>
  <c r="K35" i="4"/>
  <c r="F71" i="4"/>
  <c r="K183" i="4"/>
  <c r="F74" i="4"/>
  <c r="N50" i="4"/>
  <c r="O167" i="4"/>
  <c r="O55" i="4"/>
  <c r="J185" i="4"/>
  <c r="K51" i="4"/>
  <c r="F41" i="4"/>
  <c r="F129" i="4"/>
  <c r="F134" i="4"/>
  <c r="F126" i="4"/>
  <c r="F133" i="4"/>
  <c r="F147" i="4"/>
  <c r="F159" i="4"/>
  <c r="F42" i="4"/>
  <c r="F46" i="4"/>
  <c r="F171" i="4"/>
  <c r="G201" i="4"/>
  <c r="N166" i="4"/>
  <c r="N162" i="4"/>
  <c r="F153" i="4"/>
  <c r="F151" i="4"/>
  <c r="F143" i="4"/>
  <c r="F141" i="4"/>
  <c r="K145" i="4" l="1"/>
  <c r="K97" i="4"/>
  <c r="K192" i="4"/>
  <c r="O96" i="4"/>
  <c r="K47" i="4"/>
  <c r="N45" i="4"/>
  <c r="N47" i="4"/>
  <c r="K45" i="4"/>
  <c r="O95" i="4"/>
  <c r="K101" i="4"/>
  <c r="O197" i="4"/>
  <c r="N43" i="4"/>
  <c r="O105" i="4"/>
  <c r="O43" i="4"/>
  <c r="K99" i="4"/>
  <c r="K44" i="4"/>
  <c r="O99" i="4"/>
  <c r="O97" i="4"/>
  <c r="N124" i="4"/>
  <c r="O44" i="4"/>
  <c r="K154" i="4"/>
  <c r="N105" i="4"/>
  <c r="K122" i="4"/>
  <c r="O155" i="4"/>
  <c r="N198" i="4"/>
  <c r="K132" i="4"/>
  <c r="K104" i="4"/>
  <c r="N104" i="4"/>
  <c r="N132" i="4"/>
  <c r="N145" i="4"/>
  <c r="K198" i="4"/>
  <c r="K100" i="4"/>
  <c r="K136" i="4"/>
  <c r="O136" i="4"/>
  <c r="N187" i="4"/>
  <c r="K93" i="4"/>
  <c r="K140" i="4"/>
  <c r="O187" i="4"/>
  <c r="O154" i="4"/>
  <c r="O186" i="4"/>
  <c r="K131" i="4"/>
  <c r="N96" i="4"/>
  <c r="O195" i="4"/>
  <c r="N195" i="4"/>
  <c r="N93" i="4"/>
  <c r="N169" i="4"/>
  <c r="N190" i="4"/>
  <c r="O169" i="4"/>
  <c r="K95" i="4"/>
  <c r="K190" i="4"/>
  <c r="N135" i="4"/>
  <c r="K94" i="4"/>
  <c r="N94" i="4"/>
  <c r="N125" i="4"/>
  <c r="N101" i="4"/>
  <c r="K102" i="4"/>
  <c r="N102" i="4"/>
  <c r="O102" i="4"/>
  <c r="O103" i="4"/>
  <c r="O192" i="4"/>
  <c r="O139" i="4"/>
  <c r="K103" i="4"/>
  <c r="K139" i="4"/>
  <c r="K124" i="4"/>
  <c r="O122" i="4"/>
  <c r="N149" i="4"/>
  <c r="O138" i="4"/>
  <c r="N148" i="4"/>
  <c r="K138" i="4"/>
  <c r="O144" i="4"/>
  <c r="K149" i="4"/>
  <c r="N144" i="4"/>
  <c r="N150" i="4"/>
  <c r="K125" i="4"/>
  <c r="N155" i="4"/>
  <c r="K137" i="4"/>
  <c r="N137" i="4"/>
  <c r="O137" i="4"/>
  <c r="K157" i="4"/>
  <c r="O157" i="4"/>
  <c r="K146" i="4"/>
  <c r="O146" i="4"/>
  <c r="N146" i="4"/>
  <c r="O127" i="4"/>
  <c r="K127" i="4"/>
  <c r="N142" i="4"/>
  <c r="O142" i="4"/>
  <c r="N156" i="4"/>
  <c r="O156" i="4"/>
  <c r="K156" i="4"/>
  <c r="N131" i="4"/>
  <c r="N157" i="4"/>
  <c r="K150" i="4"/>
  <c r="O140" i="4"/>
  <c r="N127" i="4"/>
  <c r="K148" i="4"/>
  <c r="O128" i="4"/>
  <c r="K152" i="4"/>
  <c r="O152" i="4"/>
  <c r="K130" i="4"/>
  <c r="O130" i="4"/>
  <c r="N130" i="4"/>
  <c r="O135" i="4"/>
  <c r="N158" i="4"/>
  <c r="N196" i="4"/>
  <c r="K128" i="4"/>
  <c r="O158" i="4"/>
  <c r="N123" i="4"/>
  <c r="O123" i="4"/>
  <c r="K123" i="4"/>
  <c r="O170" i="4"/>
  <c r="K170" i="4"/>
  <c r="N170" i="4"/>
  <c r="N199" i="4"/>
  <c r="O199" i="4"/>
  <c r="N191" i="4"/>
  <c r="O191" i="4"/>
  <c r="O196" i="4"/>
  <c r="N121" i="4"/>
  <c r="O121" i="4"/>
  <c r="K121" i="4"/>
  <c r="I201" i="4"/>
  <c r="K186" i="4"/>
  <c r="K70" i="4"/>
  <c r="O70" i="4"/>
  <c r="N70" i="4"/>
  <c r="K80" i="4"/>
  <c r="N80" i="4"/>
  <c r="O80" i="4"/>
  <c r="O171" i="4"/>
  <c r="N171" i="4"/>
  <c r="K171" i="4"/>
  <c r="K71" i="4"/>
  <c r="N71" i="4"/>
  <c r="O71" i="4"/>
  <c r="K189" i="4"/>
  <c r="O189" i="4"/>
  <c r="N189" i="4"/>
  <c r="O185" i="4"/>
  <c r="N185" i="4"/>
  <c r="K185" i="4"/>
  <c r="O77" i="4"/>
  <c r="K77" i="4"/>
  <c r="N77" i="4"/>
  <c r="K81" i="4"/>
  <c r="O81" i="4"/>
  <c r="N81" i="4"/>
  <c r="N82" i="4"/>
  <c r="O82" i="4"/>
  <c r="K82" i="4"/>
  <c r="O151" i="4"/>
  <c r="K151" i="4"/>
  <c r="N151" i="4"/>
  <c r="K126" i="4"/>
  <c r="O126" i="4"/>
  <c r="N126" i="4"/>
  <c r="N193" i="4"/>
  <c r="K193" i="4"/>
  <c r="O193" i="4"/>
  <c r="K73" i="4"/>
  <c r="N73" i="4"/>
  <c r="O73" i="4"/>
  <c r="O72" i="4"/>
  <c r="N72" i="4"/>
  <c r="K72" i="4"/>
  <c r="N141" i="4"/>
  <c r="O141" i="4"/>
  <c r="K141" i="4"/>
  <c r="K46" i="4"/>
  <c r="O46" i="4"/>
  <c r="N46" i="4"/>
  <c r="O147" i="4"/>
  <c r="K147" i="4"/>
  <c r="N147" i="4"/>
  <c r="O129" i="4"/>
  <c r="N129" i="4"/>
  <c r="K129" i="4"/>
  <c r="O194" i="4"/>
  <c r="N194" i="4"/>
  <c r="K194" i="4"/>
  <c r="K153" i="4"/>
  <c r="O153" i="4"/>
  <c r="N153" i="4"/>
  <c r="N159" i="4"/>
  <c r="K159" i="4"/>
  <c r="O159" i="4"/>
  <c r="K134" i="4"/>
  <c r="N134" i="4"/>
  <c r="O134" i="4"/>
  <c r="N78" i="4"/>
  <c r="O78" i="4"/>
  <c r="K78" i="4"/>
  <c r="K143" i="4"/>
  <c r="O143" i="4"/>
  <c r="N143" i="4"/>
  <c r="N42" i="4"/>
  <c r="O42" i="4"/>
  <c r="K42" i="4"/>
  <c r="N133" i="4"/>
  <c r="K133" i="4"/>
  <c r="O133" i="4"/>
  <c r="N41" i="4"/>
  <c r="O41" i="4"/>
  <c r="K41" i="4"/>
  <c r="K74" i="4"/>
  <c r="O74" i="4"/>
  <c r="N74" i="4"/>
  <c r="N188" i="4"/>
  <c r="O188" i="4"/>
  <c r="K188" i="4"/>
  <c r="K75" i="4"/>
  <c r="N75" i="4"/>
  <c r="O75" i="4"/>
  <c r="N83" i="4"/>
  <c r="K83" i="4"/>
  <c r="O83" i="4"/>
  <c r="K76" i="4"/>
  <c r="N76" i="4"/>
  <c r="O76" i="4"/>
  <c r="K197" i="4"/>
  <c r="J201" i="4"/>
  <c r="N197" i="4"/>
  <c r="K106" i="4" l="1"/>
  <c r="O106" i="4"/>
  <c r="V97" i="4" s="1"/>
  <c r="N106" i="4"/>
  <c r="O172" i="4"/>
  <c r="AB47" i="4" s="1"/>
  <c r="O48" i="4"/>
  <c r="V93" i="4" s="1"/>
  <c r="K160" i="4"/>
  <c r="K48" i="4"/>
  <c r="N172" i="4"/>
  <c r="N160" i="4"/>
  <c r="AA19" i="4" s="1"/>
  <c r="K172" i="4"/>
  <c r="K200" i="4"/>
  <c r="O200" i="4"/>
  <c r="V113" i="4" s="1"/>
  <c r="K84" i="4"/>
  <c r="O84" i="4"/>
  <c r="V105" i="4" s="1"/>
  <c r="O160" i="4"/>
  <c r="N84" i="4"/>
  <c r="N48" i="4"/>
  <c r="N200" i="4"/>
  <c r="U146" i="4" l="1"/>
  <c r="T116" i="4"/>
  <c r="T146" i="4"/>
  <c r="U116" i="4"/>
  <c r="T126" i="4"/>
  <c r="U96" i="4"/>
  <c r="U126" i="4"/>
  <c r="T96" i="4"/>
  <c r="U138" i="4"/>
  <c r="T108" i="4"/>
  <c r="T138" i="4"/>
  <c r="U108" i="4"/>
  <c r="T142" i="4"/>
  <c r="U112" i="4"/>
  <c r="U142" i="4"/>
  <c r="T112" i="4"/>
  <c r="T134" i="4"/>
  <c r="U104" i="4"/>
  <c r="U134" i="4"/>
  <c r="T104" i="4"/>
  <c r="U130" i="4"/>
  <c r="T100" i="4"/>
  <c r="T130" i="4"/>
  <c r="U100" i="4"/>
  <c r="T82" i="4"/>
  <c r="U82" i="4"/>
  <c r="U86" i="4"/>
  <c r="T86" i="4"/>
  <c r="T78" i="4"/>
  <c r="U78" i="4"/>
  <c r="U70" i="4"/>
  <c r="T70" i="4"/>
  <c r="T66" i="4"/>
  <c r="U66" i="4"/>
  <c r="U74" i="4"/>
  <c r="T74" i="4"/>
  <c r="T36" i="4"/>
  <c r="U36" i="4"/>
  <c r="T56" i="4"/>
  <c r="U56" i="4"/>
  <c r="T44" i="4"/>
  <c r="U44" i="4"/>
  <c r="U127" i="4"/>
  <c r="T40" i="4"/>
  <c r="U40" i="4"/>
  <c r="T80" i="4"/>
  <c r="T52" i="4"/>
  <c r="U52" i="4"/>
  <c r="U48" i="4"/>
  <c r="T48" i="4"/>
  <c r="V67" i="4"/>
  <c r="T26" i="4"/>
  <c r="U26" i="4"/>
  <c r="AB43" i="4"/>
  <c r="AB62" i="4"/>
  <c r="V123" i="4"/>
  <c r="U97" i="4"/>
  <c r="T8" i="4"/>
  <c r="U141" i="4"/>
  <c r="AB21" i="4"/>
  <c r="AB7" i="4"/>
  <c r="V19" i="4"/>
  <c r="V127" i="4"/>
  <c r="AB61" i="4"/>
  <c r="AB44" i="4"/>
  <c r="AB31" i="4"/>
  <c r="AB34" i="4"/>
  <c r="T109" i="4"/>
  <c r="T22" i="4"/>
  <c r="U22" i="4"/>
  <c r="V139" i="4"/>
  <c r="V79" i="4"/>
  <c r="AB58" i="4"/>
  <c r="AA18" i="4"/>
  <c r="T98" i="4"/>
  <c r="T18" i="4"/>
  <c r="U18" i="4"/>
  <c r="U37" i="4"/>
  <c r="U103" i="4"/>
  <c r="T14" i="4"/>
  <c r="U14" i="4"/>
  <c r="AB18" i="4"/>
  <c r="AB4" i="4"/>
  <c r="V37" i="4"/>
  <c r="U21" i="4"/>
  <c r="V7" i="4"/>
  <c r="T39" i="4"/>
  <c r="T10" i="4"/>
  <c r="U10" i="4"/>
  <c r="U39" i="4"/>
  <c r="T69" i="4"/>
  <c r="T128" i="4"/>
  <c r="T127" i="4"/>
  <c r="U8" i="4"/>
  <c r="W8" i="4" s="1"/>
  <c r="U38" i="4"/>
  <c r="AA4" i="4"/>
  <c r="AA58" i="4"/>
  <c r="AC58" i="4" s="1"/>
  <c r="AB17" i="4"/>
  <c r="V83" i="4"/>
  <c r="T7" i="4"/>
  <c r="AA31" i="4"/>
  <c r="U69" i="4"/>
  <c r="U9" i="4"/>
  <c r="U99" i="4"/>
  <c r="T129" i="4"/>
  <c r="T97" i="4"/>
  <c r="AB3" i="4"/>
  <c r="V33" i="4"/>
  <c r="T9" i="4"/>
  <c r="U67" i="4"/>
  <c r="U7" i="4"/>
  <c r="U128" i="4"/>
  <c r="T38" i="4"/>
  <c r="T110" i="4"/>
  <c r="T111" i="4"/>
  <c r="T141" i="4"/>
  <c r="U81" i="4"/>
  <c r="AB57" i="4"/>
  <c r="AB6" i="4"/>
  <c r="U20" i="4"/>
  <c r="AA44" i="4"/>
  <c r="AC44" i="4" s="1"/>
  <c r="U98" i="4"/>
  <c r="T99" i="4"/>
  <c r="T68" i="4"/>
  <c r="U68" i="4"/>
  <c r="T67" i="4"/>
  <c r="U129" i="4"/>
  <c r="T37" i="4"/>
  <c r="U79" i="4"/>
  <c r="T50" i="4"/>
  <c r="T21" i="4"/>
  <c r="T49" i="4"/>
  <c r="U139" i="4"/>
  <c r="AB30" i="4"/>
  <c r="V63" i="4"/>
  <c r="AA7" i="4"/>
  <c r="U49" i="4"/>
  <c r="AA61" i="4"/>
  <c r="U111" i="4"/>
  <c r="T20" i="4"/>
  <c r="U19" i="4"/>
  <c r="V3" i="4"/>
  <c r="T42" i="4"/>
  <c r="V23" i="4"/>
  <c r="V49" i="4"/>
  <c r="T140" i="4"/>
  <c r="T51" i="4"/>
  <c r="V109" i="4"/>
  <c r="U80" i="4"/>
  <c r="T81" i="4"/>
  <c r="T139" i="4"/>
  <c r="U110" i="4"/>
  <c r="U109" i="4"/>
  <c r="T19" i="4"/>
  <c r="AA21" i="4"/>
  <c r="U51" i="4"/>
  <c r="U50" i="4"/>
  <c r="AA47" i="4"/>
  <c r="AC47" i="4" s="1"/>
  <c r="U140" i="4"/>
  <c r="AA34" i="4"/>
  <c r="T132" i="4"/>
  <c r="V53" i="4"/>
  <c r="AB22" i="4"/>
  <c r="T79" i="4"/>
  <c r="AB8" i="4"/>
  <c r="V45" i="4"/>
  <c r="AB35" i="4"/>
  <c r="V143" i="4"/>
  <c r="AB48" i="4"/>
  <c r="T6" i="4"/>
  <c r="U6" i="4"/>
  <c r="T101" i="4"/>
  <c r="U101" i="4"/>
  <c r="U131" i="4"/>
  <c r="U72" i="4"/>
  <c r="AB33" i="4"/>
  <c r="T72" i="4"/>
  <c r="T43" i="4"/>
  <c r="U13" i="4"/>
  <c r="AB46" i="4"/>
  <c r="T41" i="4"/>
  <c r="U43" i="4"/>
  <c r="T133" i="4"/>
  <c r="T131" i="4"/>
  <c r="T73" i="4"/>
  <c r="T12" i="4"/>
  <c r="T71" i="4"/>
  <c r="AA45" i="4"/>
  <c r="U133" i="4"/>
  <c r="U41" i="4"/>
  <c r="U11" i="4"/>
  <c r="U42" i="4"/>
  <c r="V15" i="4"/>
  <c r="AB60" i="4"/>
  <c r="V135" i="4"/>
  <c r="AA5" i="4"/>
  <c r="T103" i="4"/>
  <c r="AA32" i="4"/>
  <c r="T13" i="4"/>
  <c r="U71" i="4"/>
  <c r="U12" i="4"/>
  <c r="U73" i="4"/>
  <c r="U102" i="4"/>
  <c r="T102" i="4"/>
  <c r="T11" i="4"/>
  <c r="U132" i="4"/>
  <c r="AA59" i="4"/>
  <c r="AB20" i="4"/>
  <c r="V75" i="4"/>
  <c r="K201" i="4"/>
  <c r="T77" i="4"/>
  <c r="U17" i="4"/>
  <c r="U136" i="4"/>
  <c r="AA33" i="4"/>
  <c r="T106" i="4"/>
  <c r="T16" i="4"/>
  <c r="T17" i="4"/>
  <c r="AA20" i="4"/>
  <c r="T137" i="4"/>
  <c r="AA6" i="4"/>
  <c r="U137" i="4"/>
  <c r="T45" i="4"/>
  <c r="T136" i="4"/>
  <c r="AA46" i="4"/>
  <c r="U135" i="4"/>
  <c r="U105" i="4"/>
  <c r="T15" i="4"/>
  <c r="U75" i="4"/>
  <c r="U45" i="4"/>
  <c r="T46" i="4"/>
  <c r="T47" i="4"/>
  <c r="T75" i="4"/>
  <c r="U15" i="4"/>
  <c r="T135" i="4"/>
  <c r="U46" i="4"/>
  <c r="T105" i="4"/>
  <c r="AA60" i="4"/>
  <c r="U76" i="4"/>
  <c r="U106" i="4"/>
  <c r="U47" i="4"/>
  <c r="U107" i="4"/>
  <c r="T76" i="4"/>
  <c r="U16" i="4"/>
  <c r="T107" i="4"/>
  <c r="U77" i="4"/>
  <c r="U95" i="4"/>
  <c r="T63" i="4"/>
  <c r="U94" i="4"/>
  <c r="T65" i="4"/>
  <c r="U4" i="4"/>
  <c r="U33" i="4"/>
  <c r="T4" i="4"/>
  <c r="T95" i="4"/>
  <c r="U63" i="4"/>
  <c r="AA43" i="4"/>
  <c r="U93" i="4"/>
  <c r="U65" i="4"/>
  <c r="U123" i="4"/>
  <c r="U64" i="4"/>
  <c r="U3" i="4"/>
  <c r="U35" i="4"/>
  <c r="T64" i="4"/>
  <c r="AA57" i="4"/>
  <c r="T35" i="4"/>
  <c r="T94" i="4"/>
  <c r="T34" i="4"/>
  <c r="T33" i="4"/>
  <c r="AA3" i="4"/>
  <c r="T123" i="4"/>
  <c r="T5" i="4"/>
  <c r="AA17" i="4"/>
  <c r="T3" i="4"/>
  <c r="U34" i="4"/>
  <c r="AA30" i="4"/>
  <c r="U124" i="4"/>
  <c r="T93" i="4"/>
  <c r="U125" i="4"/>
  <c r="U5" i="4"/>
  <c r="T124" i="4"/>
  <c r="T125" i="4"/>
  <c r="U145" i="4"/>
  <c r="T115" i="4"/>
  <c r="U55" i="4"/>
  <c r="T25" i="4"/>
  <c r="U83" i="4"/>
  <c r="AA35" i="4"/>
  <c r="U114" i="4"/>
  <c r="T24" i="4"/>
  <c r="U143" i="4"/>
  <c r="T113" i="4"/>
  <c r="AA48" i="4"/>
  <c r="U85" i="4"/>
  <c r="U25" i="4"/>
  <c r="U84" i="4"/>
  <c r="T144" i="4"/>
  <c r="U23" i="4"/>
  <c r="T23" i="4"/>
  <c r="T145" i="4"/>
  <c r="U144" i="4"/>
  <c r="T143" i="4"/>
  <c r="U54" i="4"/>
  <c r="AA22" i="4"/>
  <c r="T53" i="4"/>
  <c r="T83" i="4"/>
  <c r="N201" i="4"/>
  <c r="T84" i="4"/>
  <c r="T114" i="4"/>
  <c r="W114" i="4" s="1"/>
  <c r="AA62" i="4"/>
  <c r="T54" i="4"/>
  <c r="U53" i="4"/>
  <c r="T85" i="4"/>
  <c r="AA8" i="4"/>
  <c r="U24" i="4"/>
  <c r="U113" i="4"/>
  <c r="U115" i="4"/>
  <c r="T55" i="4"/>
  <c r="V11" i="4"/>
  <c r="AB59" i="4"/>
  <c r="AB32" i="4"/>
  <c r="V101" i="4"/>
  <c r="AB19" i="4"/>
  <c r="V41" i="4"/>
  <c r="AB45" i="4"/>
  <c r="V131" i="4"/>
  <c r="AB5" i="4"/>
  <c r="V71" i="4"/>
  <c r="O201" i="4"/>
  <c r="W33" i="4" l="1"/>
  <c r="W52" i="4"/>
  <c r="W100" i="4"/>
  <c r="W104" i="4"/>
  <c r="W112" i="4"/>
  <c r="AE47" i="4" s="1"/>
  <c r="W108" i="4"/>
  <c r="T121" i="4"/>
  <c r="W96" i="4"/>
  <c r="U121" i="4"/>
  <c r="W116" i="4"/>
  <c r="AE44" i="4"/>
  <c r="W130" i="4"/>
  <c r="AE58" i="4" s="1"/>
  <c r="W134" i="4"/>
  <c r="W142" i="4"/>
  <c r="W138" i="4"/>
  <c r="U151" i="4"/>
  <c r="T151" i="4"/>
  <c r="W126" i="4"/>
  <c r="W146" i="4"/>
  <c r="U91" i="4"/>
  <c r="T91" i="4"/>
  <c r="W66" i="4"/>
  <c r="W78" i="4"/>
  <c r="W82" i="4"/>
  <c r="W74" i="4"/>
  <c r="W70" i="4"/>
  <c r="W86" i="4"/>
  <c r="AC7" i="4"/>
  <c r="W36" i="4"/>
  <c r="T61" i="4"/>
  <c r="W48" i="4"/>
  <c r="U61" i="4"/>
  <c r="W44" i="4"/>
  <c r="W56" i="4"/>
  <c r="W40" i="4"/>
  <c r="U31" i="4"/>
  <c r="T31" i="4"/>
  <c r="W26" i="4"/>
  <c r="W98" i="4"/>
  <c r="AD44" i="4" s="1"/>
  <c r="AC62" i="4"/>
  <c r="AC34" i="4"/>
  <c r="W97" i="4"/>
  <c r="W80" i="4"/>
  <c r="AC21" i="4"/>
  <c r="W99" i="4"/>
  <c r="W9" i="4"/>
  <c r="AC4" i="4"/>
  <c r="W109" i="4"/>
  <c r="AC61" i="4"/>
  <c r="AC18" i="4"/>
  <c r="W141" i="4"/>
  <c r="W84" i="4"/>
  <c r="W19" i="4"/>
  <c r="W129" i="4"/>
  <c r="AC31" i="4"/>
  <c r="W127" i="4"/>
  <c r="W21" i="4"/>
  <c r="W22" i="4"/>
  <c r="W54" i="4"/>
  <c r="W79" i="4"/>
  <c r="W49" i="4"/>
  <c r="W68" i="4"/>
  <c r="W128" i="4"/>
  <c r="AD58" i="4" s="1"/>
  <c r="W10" i="4"/>
  <c r="W14" i="4"/>
  <c r="W18" i="4"/>
  <c r="W38" i="4"/>
  <c r="W7" i="4"/>
  <c r="W69" i="4"/>
  <c r="W39" i="4"/>
  <c r="AB10" i="4"/>
  <c r="W6" i="4"/>
  <c r="W51" i="4"/>
  <c r="W37" i="4"/>
  <c r="AC6" i="4"/>
  <c r="W20" i="4"/>
  <c r="AD7" i="4" s="1"/>
  <c r="W111" i="4"/>
  <c r="W139" i="4"/>
  <c r="W67" i="4"/>
  <c r="AC8" i="4"/>
  <c r="AC48" i="4"/>
  <c r="W140" i="4"/>
  <c r="W50" i="4"/>
  <c r="AC22" i="4"/>
  <c r="AE22" i="4" s="1"/>
  <c r="W81" i="4"/>
  <c r="W110" i="4"/>
  <c r="AD47" i="4" s="1"/>
  <c r="W42" i="4"/>
  <c r="AC45" i="4"/>
  <c r="AE45" i="4" s="1"/>
  <c r="AC32" i="4"/>
  <c r="AC5" i="4"/>
  <c r="AC35" i="4"/>
  <c r="W102" i="4"/>
  <c r="AC20" i="4"/>
  <c r="AC33" i="4"/>
  <c r="N202" i="4"/>
  <c r="W73" i="4"/>
  <c r="V28" i="4"/>
  <c r="W11" i="4"/>
  <c r="W85" i="4"/>
  <c r="W45" i="4"/>
  <c r="AC59" i="4"/>
  <c r="AE59" i="4" s="1"/>
  <c r="AB24" i="4"/>
  <c r="W12" i="4"/>
  <c r="W131" i="4"/>
  <c r="AC46" i="4"/>
  <c r="AC19" i="4"/>
  <c r="W41" i="4"/>
  <c r="AB64" i="4"/>
  <c r="W145" i="4"/>
  <c r="U30" i="4"/>
  <c r="U88" i="4"/>
  <c r="W47" i="4"/>
  <c r="W75" i="4"/>
  <c r="W13" i="4"/>
  <c r="W53" i="4"/>
  <c r="U89" i="4"/>
  <c r="U58" i="4"/>
  <c r="AC60" i="4"/>
  <c r="W17" i="4"/>
  <c r="V148" i="4"/>
  <c r="W83" i="4"/>
  <c r="W143" i="4"/>
  <c r="W24" i="4"/>
  <c r="W25" i="4"/>
  <c r="U118" i="4"/>
  <c r="W76" i="4"/>
  <c r="W72" i="4"/>
  <c r="AA50" i="4"/>
  <c r="AC43" i="4"/>
  <c r="T88" i="4"/>
  <c r="W63" i="4"/>
  <c r="W101" i="4"/>
  <c r="W103" i="4"/>
  <c r="T150" i="4"/>
  <c r="W125" i="4"/>
  <c r="T28" i="4"/>
  <c r="W3" i="4"/>
  <c r="W35" i="4"/>
  <c r="T60" i="4"/>
  <c r="T29" i="4"/>
  <c r="W4" i="4"/>
  <c r="AA37" i="4"/>
  <c r="AC30" i="4"/>
  <c r="W5" i="4"/>
  <c r="T30" i="4"/>
  <c r="T59" i="4"/>
  <c r="W34" i="4"/>
  <c r="W64" i="4"/>
  <c r="T89" i="4"/>
  <c r="W144" i="4"/>
  <c r="U149" i="4"/>
  <c r="W113" i="4"/>
  <c r="W115" i="4"/>
  <c r="U148" i="4"/>
  <c r="U29" i="4"/>
  <c r="U120" i="4"/>
  <c r="W107" i="4"/>
  <c r="W105" i="4"/>
  <c r="W16" i="4"/>
  <c r="W71" i="4"/>
  <c r="V88" i="4"/>
  <c r="W43" i="4"/>
  <c r="W124" i="4"/>
  <c r="T149" i="4"/>
  <c r="AC17" i="4"/>
  <c r="AE17" i="4" s="1"/>
  <c r="AA24" i="4"/>
  <c r="T58" i="4"/>
  <c r="AA64" i="4"/>
  <c r="AC57" i="4"/>
  <c r="T118" i="4"/>
  <c r="W93" i="4"/>
  <c r="AC3" i="4"/>
  <c r="AA10" i="4"/>
  <c r="W123" i="4"/>
  <c r="T148" i="4"/>
  <c r="W94" i="4"/>
  <c r="T119" i="4"/>
  <c r="T120" i="4"/>
  <c r="W95" i="4"/>
  <c r="T90" i="4"/>
  <c r="W65" i="4"/>
  <c r="W55" i="4"/>
  <c r="U28" i="4"/>
  <c r="U119" i="4"/>
  <c r="W135" i="4"/>
  <c r="W133" i="4"/>
  <c r="AB50" i="4"/>
  <c r="W132" i="4"/>
  <c r="W23" i="4"/>
  <c r="U150" i="4"/>
  <c r="U59" i="4"/>
  <c r="U60" i="4"/>
  <c r="U90" i="4"/>
  <c r="W46" i="4"/>
  <c r="W15" i="4"/>
  <c r="W136" i="4"/>
  <c r="W137" i="4"/>
  <c r="W106" i="4"/>
  <c r="W77" i="4"/>
  <c r="V118" i="4"/>
  <c r="AB37" i="4"/>
  <c r="V58" i="4"/>
  <c r="AE62" i="4" l="1"/>
  <c r="AE57" i="4"/>
  <c r="AE46" i="4"/>
  <c r="AE61" i="4"/>
  <c r="AE60" i="4"/>
  <c r="AE33" i="4"/>
  <c r="AE43" i="4"/>
  <c r="W151" i="4"/>
  <c r="AD48" i="4"/>
  <c r="AE48" i="4"/>
  <c r="W121" i="4"/>
  <c r="AE32" i="4"/>
  <c r="W91" i="4"/>
  <c r="AE30" i="4"/>
  <c r="AE31" i="4"/>
  <c r="AE35" i="4"/>
  <c r="AE34" i="4"/>
  <c r="AE19" i="4"/>
  <c r="AE21" i="4"/>
  <c r="AE7" i="4"/>
  <c r="AE18" i="4"/>
  <c r="AE20" i="4"/>
  <c r="W61" i="4"/>
  <c r="AE5" i="4"/>
  <c r="AD4" i="4"/>
  <c r="AE4" i="4"/>
  <c r="AE3" i="4"/>
  <c r="AD3" i="4"/>
  <c r="AE6" i="4"/>
  <c r="AE8" i="4"/>
  <c r="W31" i="4"/>
  <c r="AD17" i="4"/>
  <c r="AD18" i="4"/>
  <c r="AD62" i="4"/>
  <c r="AD61" i="4"/>
  <c r="AD34" i="4"/>
  <c r="AD31" i="4"/>
  <c r="AD35" i="4"/>
  <c r="AD21" i="4"/>
  <c r="AD46" i="4"/>
  <c r="AD22" i="4"/>
  <c r="AD8" i="4"/>
  <c r="AD6" i="4"/>
  <c r="AC10" i="4"/>
  <c r="AD45" i="4"/>
  <c r="AD32" i="4"/>
  <c r="AD33" i="4"/>
  <c r="AD5" i="4"/>
  <c r="AC64" i="4"/>
  <c r="AD20" i="4"/>
  <c r="AD19" i="4"/>
  <c r="AC24" i="4"/>
  <c r="AD60" i="4"/>
  <c r="AD59" i="4"/>
  <c r="AD57" i="4"/>
  <c r="W29" i="4"/>
  <c r="AD43" i="4"/>
  <c r="W90" i="4"/>
  <c r="W89" i="4"/>
  <c r="W30" i="4"/>
  <c r="W148" i="4"/>
  <c r="W58" i="4"/>
  <c r="W149" i="4"/>
  <c r="W28" i="4"/>
  <c r="W119" i="4"/>
  <c r="AC50" i="4"/>
  <c r="AC37" i="4"/>
  <c r="W60" i="4"/>
  <c r="W120" i="4"/>
  <c r="W118" i="4"/>
  <c r="W59" i="4"/>
  <c r="AD30" i="4"/>
  <c r="W150" i="4"/>
  <c r="W88" i="4"/>
  <c r="AE64" i="4" l="1"/>
  <c r="AE50" i="4"/>
  <c r="AE24" i="4"/>
  <c r="AE37" i="4"/>
  <c r="AD24" i="4"/>
  <c r="AE10" i="4"/>
  <c r="AD50" i="4"/>
  <c r="AD37" i="4"/>
  <c r="AD10" i="4"/>
  <c r="AD64" i="4"/>
</calcChain>
</file>

<file path=xl/sharedStrings.xml><?xml version="1.0" encoding="utf-8"?>
<sst xmlns="http://schemas.openxmlformats.org/spreadsheetml/2006/main" count="926" uniqueCount="457">
  <si>
    <t>prematurity or LBW</t>
  </si>
  <si>
    <t>CLINICAL DISEASE</t>
  </si>
  <si>
    <t>GLOBAL</t>
  </si>
  <si>
    <t>Kazakhstan</t>
  </si>
  <si>
    <t>LB</t>
  </si>
  <si>
    <t>Lebanon</t>
  </si>
  <si>
    <t>LS</t>
  </si>
  <si>
    <t>Lesotho</t>
  </si>
  <si>
    <t>MW</t>
  </si>
  <si>
    <t>Malawi</t>
  </si>
  <si>
    <t>MR</t>
  </si>
  <si>
    <t>IE</t>
  </si>
  <si>
    <t>Ireland</t>
  </si>
  <si>
    <t>IL</t>
  </si>
  <si>
    <t>Israel</t>
  </si>
  <si>
    <t>IT</t>
  </si>
  <si>
    <t>Italy</t>
  </si>
  <si>
    <t>JP</t>
  </si>
  <si>
    <t>Japan</t>
  </si>
  <si>
    <t>KW</t>
  </si>
  <si>
    <t>Kuwait</t>
  </si>
  <si>
    <t>LU</t>
  </si>
  <si>
    <t>Luxembourg</t>
  </si>
  <si>
    <t>MT</t>
  </si>
  <si>
    <t>Malta</t>
  </si>
  <si>
    <t>MC</t>
  </si>
  <si>
    <t>Monaco</t>
  </si>
  <si>
    <t>NZ</t>
  </si>
  <si>
    <t>New Zealand</t>
  </si>
  <si>
    <t>NO</t>
  </si>
  <si>
    <t>Norway</t>
  </si>
  <si>
    <t>PT</t>
  </si>
  <si>
    <t>Portugal</t>
  </si>
  <si>
    <t>QA</t>
  </si>
  <si>
    <t>Qatar</t>
  </si>
  <si>
    <t>KR</t>
  </si>
  <si>
    <t>Republic of Korea</t>
  </si>
  <si>
    <t>SI</t>
  </si>
  <si>
    <t>Slovenia</t>
  </si>
  <si>
    <t>ES</t>
  </si>
  <si>
    <t>Spain</t>
  </si>
  <si>
    <t>SE</t>
  </si>
  <si>
    <t>Sweden</t>
  </si>
  <si>
    <t>CH</t>
  </si>
  <si>
    <t>Switzerland</t>
  </si>
  <si>
    <t>GB</t>
  </si>
  <si>
    <t>United States of America</t>
  </si>
  <si>
    <t>WHO region</t>
  </si>
  <si>
    <t>Estimate of LB plus SB for 2008</t>
  </si>
  <si>
    <t xml:space="preserve"> </t>
  </si>
  <si>
    <t>DZ</t>
  </si>
  <si>
    <t>Algeria</t>
  </si>
  <si>
    <t>AMR</t>
  </si>
  <si>
    <t>AR</t>
  </si>
  <si>
    <t>Argentina</t>
  </si>
  <si>
    <t>EUR</t>
  </si>
  <si>
    <t>BA</t>
  </si>
  <si>
    <t>Bosnia and Herzegovina</t>
  </si>
  <si>
    <t>BW</t>
  </si>
  <si>
    <t>Botswana</t>
  </si>
  <si>
    <t>BF</t>
  </si>
  <si>
    <t>Burkina Faso</t>
  </si>
  <si>
    <t>KM</t>
  </si>
  <si>
    <t>Comoros</t>
  </si>
  <si>
    <t>CG</t>
  </si>
  <si>
    <t>Congo</t>
  </si>
  <si>
    <t>LR</t>
  </si>
  <si>
    <t>Liberia</t>
  </si>
  <si>
    <t>GH</t>
  </si>
  <si>
    <t>Ghana</t>
  </si>
  <si>
    <t>WPR</t>
  </si>
  <si>
    <t>MY</t>
  </si>
  <si>
    <t>Malaysia</t>
  </si>
  <si>
    <t>VN</t>
  </si>
  <si>
    <t>Viet Nam</t>
  </si>
  <si>
    <t>ZW</t>
  </si>
  <si>
    <t>Zimbabwe</t>
  </si>
  <si>
    <t>CR</t>
  </si>
  <si>
    <t>Costa Rica</t>
  </si>
  <si>
    <t>CI</t>
  </si>
  <si>
    <t>Côte d'Ivoire</t>
  </si>
  <si>
    <t>DJ</t>
  </si>
  <si>
    <t>Djibouti</t>
  </si>
  <si>
    <t>CD</t>
  </si>
  <si>
    <t>Democratic Republic of the Congo</t>
  </si>
  <si>
    <t>EG</t>
  </si>
  <si>
    <t>Egypt</t>
  </si>
  <si>
    <t>ER</t>
  </si>
  <si>
    <t>Eritrea</t>
  </si>
  <si>
    <t>Gambia</t>
  </si>
  <si>
    <t>UY</t>
  </si>
  <si>
    <t>Uruguay</t>
  </si>
  <si>
    <t>CO</t>
  </si>
  <si>
    <t>Colombia</t>
  </si>
  <si>
    <t>GE</t>
  </si>
  <si>
    <t>Georgia</t>
  </si>
  <si>
    <t>LT</t>
  </si>
  <si>
    <t>Lithuania</t>
  </si>
  <si>
    <t>PL</t>
  </si>
  <si>
    <t>Poland</t>
  </si>
  <si>
    <t>MD</t>
  </si>
  <si>
    <t>Republic of Moldova</t>
  </si>
  <si>
    <t>RS</t>
  </si>
  <si>
    <t>Serbia</t>
  </si>
  <si>
    <t>BN</t>
  </si>
  <si>
    <t>Brunei Darussalam</t>
  </si>
  <si>
    <t>NL</t>
  </si>
  <si>
    <t>Netherlands</t>
  </si>
  <si>
    <t>SM</t>
  </si>
  <si>
    <t>San Marino</t>
  </si>
  <si>
    <t>AL</t>
  </si>
  <si>
    <t>Albania</t>
  </si>
  <si>
    <t>AG</t>
  </si>
  <si>
    <t>Antigua and Barbuda</t>
  </si>
  <si>
    <t>AM</t>
  </si>
  <si>
    <t>Armenia</t>
  </si>
  <si>
    <t>AZ</t>
  </si>
  <si>
    <t>Azerbaijan</t>
  </si>
  <si>
    <t>BB</t>
  </si>
  <si>
    <t>Barbados</t>
  </si>
  <si>
    <t>BY</t>
  </si>
  <si>
    <t>Belarus</t>
  </si>
  <si>
    <t>BG</t>
  </si>
  <si>
    <t>Bulgaria</t>
  </si>
  <si>
    <t>CK</t>
  </si>
  <si>
    <t>Cook Islands</t>
  </si>
  <si>
    <t>HR</t>
  </si>
  <si>
    <t>Croatia</t>
  </si>
  <si>
    <t>CU</t>
  </si>
  <si>
    <t>Cuba</t>
  </si>
  <si>
    <t>CZ</t>
  </si>
  <si>
    <t>Czech Republic</t>
  </si>
  <si>
    <t>KP</t>
  </si>
  <si>
    <t>Democratic People's Republic of Korea</t>
  </si>
  <si>
    <t>DM</t>
  </si>
  <si>
    <t>Dominica</t>
  </si>
  <si>
    <t>EE</t>
  </si>
  <si>
    <t>Estonia</t>
  </si>
  <si>
    <t>GD</t>
  </si>
  <si>
    <t>Grenada</t>
  </si>
  <si>
    <t>HU</t>
  </si>
  <si>
    <t>Hungary</t>
  </si>
  <si>
    <t>JM</t>
  </si>
  <si>
    <t>Jamaica</t>
  </si>
  <si>
    <t>KG</t>
  </si>
  <si>
    <t>Kyrgyzstan</t>
  </si>
  <si>
    <t>LV</t>
  </si>
  <si>
    <t>Latvia</t>
  </si>
  <si>
    <t>LY</t>
  </si>
  <si>
    <t>Libyan Arab Jamahiriya</t>
  </si>
  <si>
    <t>MH</t>
  </si>
  <si>
    <t>Marshall Islands</t>
  </si>
  <si>
    <t>MU</t>
  </si>
  <si>
    <t>Mauritius</t>
  </si>
  <si>
    <t>FM</t>
  </si>
  <si>
    <t>Micronesia (Federated States of)</t>
  </si>
  <si>
    <t>ME</t>
  </si>
  <si>
    <t>Montenegro</t>
  </si>
  <si>
    <t>NR</t>
  </si>
  <si>
    <t>Nauru</t>
  </si>
  <si>
    <t>NU</t>
  </si>
  <si>
    <t>Niue</t>
  </si>
  <si>
    <t>PW</t>
  </si>
  <si>
    <t>Palau</t>
  </si>
  <si>
    <t>RU</t>
  </si>
  <si>
    <t>Russian Federation</t>
  </si>
  <si>
    <t>KN</t>
  </si>
  <si>
    <t>Saint Kitts and Nevis</t>
  </si>
  <si>
    <t>LC</t>
  </si>
  <si>
    <t>Saint Lucia</t>
  </si>
  <si>
    <t>VC</t>
  </si>
  <si>
    <t>Saint Vincent and the Grenadines</t>
  </si>
  <si>
    <t>WS</t>
  </si>
  <si>
    <t>Samoa</t>
  </si>
  <si>
    <t>SK</t>
  </si>
  <si>
    <t>Slovakia</t>
  </si>
  <si>
    <t>ZA</t>
  </si>
  <si>
    <t>South Africa</t>
  </si>
  <si>
    <t>SR</t>
  </si>
  <si>
    <t>Suriname</t>
  </si>
  <si>
    <t>SY</t>
  </si>
  <si>
    <t>Syrian Arab Republic</t>
  </si>
  <si>
    <t>MK</t>
  </si>
  <si>
    <t>The former Yugoslav Republic of Macedonia</t>
  </si>
  <si>
    <t>TO</t>
  </si>
  <si>
    <t>Tonga</t>
  </si>
  <si>
    <t>TR</t>
  </si>
  <si>
    <t>Turkey</t>
  </si>
  <si>
    <t>TM</t>
  </si>
  <si>
    <t>Turkmenistan</t>
  </si>
  <si>
    <t>TV</t>
  </si>
  <si>
    <t>Tuvalu</t>
  </si>
  <si>
    <t>UZ</t>
  </si>
  <si>
    <t>Uzbekistan</t>
  </si>
  <si>
    <t>VE</t>
  </si>
  <si>
    <t>AFRO</t>
  </si>
  <si>
    <t>AMRO</t>
  </si>
  <si>
    <t>EMRO</t>
  </si>
  <si>
    <t>EURO</t>
  </si>
  <si>
    <t>SEARO</t>
  </si>
  <si>
    <t>WPRO</t>
  </si>
  <si>
    <t>Estimated proportion of syphilis seropositive women with probable "active syphilis"</t>
  </si>
  <si>
    <t>Expected proportion of women that have syphilis related adverse outcome without treatment</t>
  </si>
  <si>
    <t>any adverse outcome</t>
  </si>
  <si>
    <t>neonatal death</t>
  </si>
  <si>
    <t>clinical disease</t>
  </si>
  <si>
    <t>Effectiveness of penicillin treatment in reducing a given adverse outcome</t>
  </si>
  <si>
    <t>PAHO</t>
  </si>
  <si>
    <t>WORST</t>
  </si>
  <si>
    <t>MIDDLE</t>
  </si>
  <si>
    <t>BEST</t>
  </si>
  <si>
    <t>% of ANC attendees tested AND treated for syphilis by region and scenario</t>
  </si>
  <si>
    <t>UNTESTED OR UNTREATED</t>
  </si>
  <si>
    <t>TESTED AND TREATED</t>
  </si>
  <si>
    <t>Bolivia (Plurinational State of)</t>
  </si>
  <si>
    <t>Number AOs in women not attending ANC</t>
  </si>
  <si>
    <t>EFL/SB</t>
  </si>
  <si>
    <t>ISO country code</t>
  </si>
  <si>
    <t>Country Name</t>
  </si>
  <si>
    <t>AFR</t>
  </si>
  <si>
    <t>AO</t>
  </si>
  <si>
    <t>Angola</t>
  </si>
  <si>
    <t>EMR</t>
  </si>
  <si>
    <t>AF</t>
  </si>
  <si>
    <t>Afghanistan</t>
  </si>
  <si>
    <t>ANY AO</t>
  </si>
  <si>
    <t>Venezuela (Bolivarian Republic of)</t>
  </si>
  <si>
    <t>AD</t>
  </si>
  <si>
    <t>Andorra</t>
  </si>
  <si>
    <t>AU</t>
  </si>
  <si>
    <t>Australia</t>
  </si>
  <si>
    <t>AT</t>
  </si>
  <si>
    <t>Austria</t>
  </si>
  <si>
    <t>BS</t>
  </si>
  <si>
    <t>Bahamas</t>
  </si>
  <si>
    <t>BH</t>
  </si>
  <si>
    <t>Bahrain</t>
  </si>
  <si>
    <t>BE</t>
  </si>
  <si>
    <t>Belgium</t>
  </si>
  <si>
    <t>CA</t>
  </si>
  <si>
    <t>Canada</t>
  </si>
  <si>
    <t>CY</t>
  </si>
  <si>
    <t>Cyprus</t>
  </si>
  <si>
    <t>DK</t>
  </si>
  <si>
    <t>Denmark</t>
  </si>
  <si>
    <t>FI</t>
  </si>
  <si>
    <t>Finland</t>
  </si>
  <si>
    <t>FR</t>
  </si>
  <si>
    <t>France</t>
  </si>
  <si>
    <t>DE</t>
  </si>
  <si>
    <t>Germany</t>
  </si>
  <si>
    <t>GR</t>
  </si>
  <si>
    <t>Greece</t>
  </si>
  <si>
    <t>IS</t>
  </si>
  <si>
    <t>Iceland</t>
  </si>
  <si>
    <t>Number of stillbirths 2008 per Cousens</t>
  </si>
  <si>
    <t>TJ</t>
  </si>
  <si>
    <t>Tajikistan</t>
  </si>
  <si>
    <t>RO</t>
  </si>
  <si>
    <t>Romania</t>
  </si>
  <si>
    <t>UA</t>
  </si>
  <si>
    <t>Ukraine</t>
  </si>
  <si>
    <t>HT</t>
  </si>
  <si>
    <t>Haiti</t>
  </si>
  <si>
    <t>SEAR</t>
  </si>
  <si>
    <t>IN</t>
  </si>
  <si>
    <t>Percent of women with at least 1 ANC visit (WHO, GHO, as of May 2011) plus regional median if missing</t>
  </si>
  <si>
    <t>SN</t>
  </si>
  <si>
    <t>Senegal</t>
  </si>
  <si>
    <t>TZ</t>
  </si>
  <si>
    <t>United Republic of Tanzania</t>
  </si>
  <si>
    <t>KH</t>
  </si>
  <si>
    <t>Cambodia</t>
  </si>
  <si>
    <t>MG</t>
  </si>
  <si>
    <t>Mauritania</t>
  </si>
  <si>
    <t>MZ</t>
  </si>
  <si>
    <t>Mozambique</t>
  </si>
  <si>
    <t>NP</t>
  </si>
  <si>
    <t>Nepal</t>
  </si>
  <si>
    <t>NI</t>
  </si>
  <si>
    <t>Nicaragua</t>
  </si>
  <si>
    <t>NG</t>
  </si>
  <si>
    <t>Nigeria</t>
  </si>
  <si>
    <t>NE</t>
  </si>
  <si>
    <t>Niger</t>
  </si>
  <si>
    <t>OM</t>
  </si>
  <si>
    <t>Oman</t>
  </si>
  <si>
    <t>PK</t>
  </si>
  <si>
    <t>Pakistan</t>
  </si>
  <si>
    <t>PY</t>
  </si>
  <si>
    <t>Paraguay</t>
  </si>
  <si>
    <t>PE</t>
  </si>
  <si>
    <t>Peru</t>
  </si>
  <si>
    <t>GA</t>
  </si>
  <si>
    <t>India</t>
  </si>
  <si>
    <t>IR</t>
  </si>
  <si>
    <t>Iran (Islamic Republic of)</t>
  </si>
  <si>
    <t>IQ</t>
  </si>
  <si>
    <t>Iraq</t>
  </si>
  <si>
    <t>JO</t>
  </si>
  <si>
    <t>Jordan</t>
  </si>
  <si>
    <t>KZ</t>
  </si>
  <si>
    <t>NEONATAL DEATHS</t>
  </si>
  <si>
    <t>Prematurity PTD</t>
  </si>
  <si>
    <t>US</t>
  </si>
  <si>
    <t>Gabon</t>
  </si>
  <si>
    <t>MA</t>
  </si>
  <si>
    <t>Morocco</t>
  </si>
  <si>
    <t>SA</t>
  </si>
  <si>
    <t>Saudi Arabia</t>
  </si>
  <si>
    <t>SL</t>
  </si>
  <si>
    <t>Sierra Leone</t>
  </si>
  <si>
    <t>SO</t>
  </si>
  <si>
    <t>Somalia</t>
  </si>
  <si>
    <t>SZ</t>
  </si>
  <si>
    <t>Swaziland</t>
  </si>
  <si>
    <t>GN</t>
  </si>
  <si>
    <t>Guinea</t>
  </si>
  <si>
    <t>TL</t>
  </si>
  <si>
    <t>Timor-Leste</t>
  </si>
  <si>
    <t>TN</t>
  </si>
  <si>
    <t>Tunisia</t>
  </si>
  <si>
    <t>MV</t>
  </si>
  <si>
    <t>Maldives</t>
  </si>
  <si>
    <t>LK</t>
  </si>
  <si>
    <t>Sri Lanka</t>
  </si>
  <si>
    <t>BI</t>
  </si>
  <si>
    <t>Burundi</t>
  </si>
  <si>
    <t>CM</t>
  </si>
  <si>
    <t>Cameroon</t>
  </si>
  <si>
    <t>CF</t>
  </si>
  <si>
    <t>Central African Republic</t>
  </si>
  <si>
    <t>ID</t>
  </si>
  <si>
    <t>Indonesia</t>
  </si>
  <si>
    <t>TG</t>
  </si>
  <si>
    <t>Togo</t>
  </si>
  <si>
    <t>LA</t>
  </si>
  <si>
    <t>Lao People's Democratic Republic</t>
  </si>
  <si>
    <t>PH</t>
  </si>
  <si>
    <t>Philippines</t>
  </si>
  <si>
    <t>SG</t>
  </si>
  <si>
    <t>Singapore</t>
  </si>
  <si>
    <t>KI</t>
  </si>
  <si>
    <t>Kiribati</t>
  </si>
  <si>
    <t>SB</t>
  </si>
  <si>
    <t>Solomon Islands</t>
  </si>
  <si>
    <t>VU</t>
  </si>
  <si>
    <t>Vanuatu</t>
  </si>
  <si>
    <t>TH</t>
  </si>
  <si>
    <t>Thailand</t>
  </si>
  <si>
    <t>FJ</t>
  </si>
  <si>
    <t>Fiji</t>
  </si>
  <si>
    <t>BJ</t>
  </si>
  <si>
    <t>Benin</t>
  </si>
  <si>
    <t>PG</t>
  </si>
  <si>
    <t>Papua New Guinea</t>
  </si>
  <si>
    <t>BT</t>
  </si>
  <si>
    <t>Bhutan</t>
  </si>
  <si>
    <t>TD</t>
  </si>
  <si>
    <t>Chad</t>
  </si>
  <si>
    <t>MN</t>
  </si>
  <si>
    <t>Mongolia</t>
  </si>
  <si>
    <t>ML</t>
  </si>
  <si>
    <t>Mali</t>
  </si>
  <si>
    <t>early fetal loss</t>
  </si>
  <si>
    <t>Percent of women with at least 1 ANC visit (WHO, GHO, as of May 2011)</t>
  </si>
  <si>
    <t>"Estimated number of pregnancies" = LB + SB + early pregnancy losses (SB*0.2) for 2008</t>
  </si>
  <si>
    <t>Madagascar</t>
  </si>
  <si>
    <t>GW</t>
  </si>
  <si>
    <t>Guinea-Bissau</t>
  </si>
  <si>
    <t>ST</t>
  </si>
  <si>
    <t>Sao Tome and Principe</t>
  </si>
  <si>
    <t>CV</t>
  </si>
  <si>
    <t>Cape Verde</t>
  </si>
  <si>
    <t>SD</t>
  </si>
  <si>
    <t>Sudan</t>
  </si>
  <si>
    <t>CN</t>
  </si>
  <si>
    <t>China</t>
  </si>
  <si>
    <t>UG</t>
  </si>
  <si>
    <t>Uganda</t>
  </si>
  <si>
    <t>RW</t>
  </si>
  <si>
    <t>Rwanda</t>
  </si>
  <si>
    <t>AE</t>
  </si>
  <si>
    <t>United Arab Emirates</t>
  </si>
  <si>
    <t>GQ</t>
  </si>
  <si>
    <t>Equatorial Guinea</t>
  </si>
  <si>
    <t>ET</t>
  </si>
  <si>
    <t>Ethiopia</t>
  </si>
  <si>
    <t>YE</t>
  </si>
  <si>
    <t>Yemen</t>
  </si>
  <si>
    <t>ZM</t>
  </si>
  <si>
    <t>Zambia</t>
  </si>
  <si>
    <t>BR</t>
  </si>
  <si>
    <t>Brazil</t>
  </si>
  <si>
    <t>PA</t>
  </si>
  <si>
    <t>Panama</t>
  </si>
  <si>
    <t>KE</t>
  </si>
  <si>
    <t>Kenya</t>
  </si>
  <si>
    <t>EC</t>
  </si>
  <si>
    <t>Ecuador</t>
  </si>
  <si>
    <t>GT</t>
  </si>
  <si>
    <t>Guatemala</t>
  </si>
  <si>
    <t>HN</t>
  </si>
  <si>
    <t>Honduras</t>
  </si>
  <si>
    <t>MX</t>
  </si>
  <si>
    <t>Mexico</t>
  </si>
  <si>
    <t>TT</t>
  </si>
  <si>
    <t>Trinidad and Tobago</t>
  </si>
  <si>
    <t>BZ</t>
  </si>
  <si>
    <t>Belize</t>
  </si>
  <si>
    <t>BO</t>
  </si>
  <si>
    <t>CL</t>
  </si>
  <si>
    <t>Chile</t>
  </si>
  <si>
    <t>DO</t>
  </si>
  <si>
    <t>Dominican Republic</t>
  </si>
  <si>
    <t>SV</t>
  </si>
  <si>
    <t>El Salvador</t>
  </si>
  <si>
    <t>GY</t>
  </si>
  <si>
    <t>Guyana</t>
  </si>
  <si>
    <t>NA</t>
  </si>
  <si>
    <t>Namibia</t>
  </si>
  <si>
    <t>SC</t>
  </si>
  <si>
    <t>Seychelles</t>
  </si>
  <si>
    <t>BD</t>
  </si>
  <si>
    <t>Bangladesh</t>
  </si>
  <si>
    <t>MM</t>
  </si>
  <si>
    <t>Myanmar</t>
  </si>
  <si>
    <t>GM</t>
  </si>
  <si>
    <t>United Kingdom of Great Britain and Northern Ireland</t>
  </si>
  <si>
    <t>Country specific estimated number of pregnant women with probable "active" syphilis (2008)</t>
  </si>
  <si>
    <t>Number AOs in women attending ANC - with NO services delivered</t>
  </si>
  <si>
    <t>Number of AOs if no services provided</t>
  </si>
  <si>
    <t>This "any" effectiveness value (0.8419) is the weighted average using as weights the outcome proportions in column E.</t>
  </si>
  <si>
    <t>ECS recommendation</t>
  </si>
  <si>
    <t>ECS</t>
  </si>
  <si>
    <t>Number of AOs averted by current services (middle case)</t>
  </si>
  <si>
    <t>Number of AOs averted if 81% coverage for testing AND treatment</t>
  </si>
  <si>
    <t>Global TOTAL (193 countries)</t>
  </si>
  <si>
    <t>Note: would assume EURO maintains higher level of testing and treatment</t>
  </si>
  <si>
    <t>Median:</t>
  </si>
  <si>
    <t>Worst</t>
  </si>
  <si>
    <t>Middle</t>
  </si>
  <si>
    <t>Best</t>
  </si>
  <si>
    <t>Any AO</t>
  </si>
  <si>
    <t>Early fetal loss</t>
  </si>
  <si>
    <t>Neonatal death</t>
  </si>
  <si>
    <t>Prematurity or LBW</t>
  </si>
  <si>
    <t>Clinical disease</t>
  </si>
  <si>
    <t>Country-specific estimated number of pregnant women with probable active syphilis attending ANC - 2008</t>
  </si>
  <si>
    <r>
      <t xml:space="preserve">Country-specific estimated number of pregnant women with probable active syphilis not attending ANC </t>
    </r>
    <r>
      <rPr>
        <b/>
        <u/>
        <sz val="9"/>
        <rFont val="Calibri"/>
        <family val="2"/>
        <scheme val="minor"/>
      </rPr>
      <t>- 2008</t>
    </r>
  </si>
  <si>
    <t>Regional estimated number of adverse pregnancy outcomes related to syphilis, with  &gt;=1 ANC visit</t>
  </si>
  <si>
    <t>Regional estimated number of adverse pregnancy outcomes related to syphilis, no ANC visit</t>
  </si>
  <si>
    <t>Regional estimated number of adverse pregnancy outcomes related to syphilis</t>
  </si>
  <si>
    <t>Data A: 2008 UA ANC syph prev</t>
  </si>
  <si>
    <t>Data B: 2009 UA ANC syph prev</t>
  </si>
  <si>
    <t xml:space="preserve">Combo 2008 UA prev + median: 2008 UA prev, OR 2009, OR regional median </t>
  </si>
  <si>
    <t>Number of live births per 2008 UNPD WPP (from HIV Dept file)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</si>
</sst>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</font>
    <font>
      <sz val="8"/>
      <name val="Arial"/>
    </font>
    <font>
      <sz val="10"/>
      <name val="Arial"/>
      <family val="2"/>
    </font>
    <font>
      <sz val="11"/>
      <color rgb="FF1F497D"/>
      <name val="Calibri"/>
      <family val="2"/>
    </font>
    <font>
      <b/>
      <sz val="9"/>
      <name val="Calibri"/>
      <family val="2"/>
      <scheme val="minor"/>
    </font>
    <font>
      <b/>
      <u/>
      <sz val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 applyBorder="0"/>
  </cellStyleXfs>
  <cellXfs count="79">
    <xf numFmtId="0" fontId="0" fillId="0" borderId="0" xfId="0"/>
    <xf numFmtId="0" fontId="2" fillId="0" borderId="0" xfId="0" applyNumberFormat="1" applyFont="1" applyAlignment="1"/>
    <xf numFmtId="0" fontId="2" fillId="0" borderId="0" xfId="0" applyFont="1" applyAlignment="1"/>
    <xf numFmtId="9" fontId="1" fillId="0" borderId="0" xfId="2" applyNumberFormat="1" applyFont="1" applyFill="1" applyAlignment="1">
      <alignment horizontal="right"/>
    </xf>
    <xf numFmtId="1" fontId="1" fillId="0" borderId="0" xfId="2" applyNumberFormat="1" applyFont="1" applyFill="1" applyAlignment="1">
      <alignment horizontal="right"/>
    </xf>
    <xf numFmtId="0" fontId="2" fillId="0" borderId="0" xfId="0" applyFont="1"/>
    <xf numFmtId="0" fontId="0" fillId="0" borderId="0" xfId="0" applyAlignment="1">
      <alignment wrapText="1"/>
    </xf>
    <xf numFmtId="0" fontId="3" fillId="0" borderId="0" xfId="0" applyNumberFormat="1" applyFont="1" applyFill="1" applyAlignment="1"/>
    <xf numFmtId="0" fontId="2" fillId="0" borderId="0" xfId="0" applyNumberFormat="1" applyFont="1" applyFill="1" applyAlignment="1"/>
    <xf numFmtId="0" fontId="0" fillId="0" borderId="0" xfId="0" applyFill="1"/>
    <xf numFmtId="10" fontId="1" fillId="0" borderId="0" xfId="2" applyNumberFormat="1" applyFont="1" applyFill="1" applyAlignment="1">
      <alignment horizontal="right"/>
    </xf>
    <xf numFmtId="10" fontId="1" fillId="0" borderId="0" xfId="2" applyNumberFormat="1" applyFont="1" applyFill="1" applyBorder="1" applyAlignment="1">
      <alignment horizontal="right"/>
    </xf>
    <xf numFmtId="3" fontId="1" fillId="0" borderId="0" xfId="2" applyNumberFormat="1" applyFont="1" applyFill="1" applyAlignment="1">
      <alignment wrapText="1"/>
    </xf>
    <xf numFmtId="3" fontId="0" fillId="0" borderId="0" xfId="0" applyNumberFormat="1"/>
    <xf numFmtId="9" fontId="2" fillId="0" borderId="0" xfId="2" applyNumberFormat="1" applyFont="1" applyFill="1" applyAlignment="1">
      <alignment horizontal="right"/>
    </xf>
    <xf numFmtId="3" fontId="2" fillId="0" borderId="0" xfId="2" applyNumberFormat="1" applyFont="1" applyFill="1" applyAlignment="1">
      <alignment wrapText="1"/>
    </xf>
    <xf numFmtId="0" fontId="2" fillId="0" borderId="0" xfId="2" applyNumberFormat="1" applyFont="1" applyFill="1" applyAlignment="1">
      <alignment wrapText="1"/>
    </xf>
    <xf numFmtId="0" fontId="0" fillId="0" borderId="0" xfId="0" applyFill="1" applyAlignment="1">
      <alignment wrapText="1"/>
    </xf>
    <xf numFmtId="10" fontId="1" fillId="2" borderId="0" xfId="2" applyNumberFormat="1" applyFont="1" applyFill="1" applyAlignment="1">
      <alignment horizontal="right"/>
    </xf>
    <xf numFmtId="1" fontId="1" fillId="0" borderId="0" xfId="0" applyNumberFormat="1" applyFont="1" applyFill="1" applyAlignment="1"/>
    <xf numFmtId="3" fontId="0" fillId="0" borderId="0" xfId="0" applyNumberFormat="1" applyFill="1"/>
    <xf numFmtId="10" fontId="0" fillId="2" borderId="0" xfId="0" applyNumberFormat="1" applyFill="1"/>
    <xf numFmtId="10" fontId="2" fillId="0" borderId="0" xfId="2" applyNumberFormat="1" applyFont="1" applyFill="1" applyAlignment="1">
      <alignment horizontal="right"/>
    </xf>
    <xf numFmtId="1" fontId="0" fillId="2" borderId="0" xfId="0" applyNumberFormat="1" applyFill="1"/>
    <xf numFmtId="3" fontId="2" fillId="0" borderId="0" xfId="0" applyNumberFormat="1" applyFont="1"/>
    <xf numFmtId="0" fontId="2" fillId="0" borderId="0" xfId="0" applyFont="1" applyAlignment="1">
      <alignment wrapText="1"/>
    </xf>
    <xf numFmtId="0" fontId="5" fillId="0" borderId="0" xfId="0" applyFont="1"/>
    <xf numFmtId="0" fontId="0" fillId="3" borderId="0" xfId="0" applyFill="1"/>
    <xf numFmtId="0" fontId="0" fillId="4" borderId="0" xfId="0" applyFill="1"/>
    <xf numFmtId="3" fontId="0" fillId="4" borderId="0" xfId="0" applyNumberFormat="1" applyFill="1"/>
    <xf numFmtId="3" fontId="5" fillId="0" borderId="0" xfId="0" applyNumberFormat="1" applyFont="1"/>
    <xf numFmtId="3" fontId="0" fillId="0" borderId="0" xfId="0" applyNumberFormat="1" applyAlignment="1">
      <alignment horizontal="center"/>
    </xf>
    <xf numFmtId="3" fontId="0" fillId="3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" fontId="0" fillId="2" borderId="0" xfId="0" applyNumberFormat="1" applyFill="1" applyAlignment="1">
      <alignment horizontal="center"/>
    </xf>
    <xf numFmtId="1" fontId="0" fillId="0" borderId="0" xfId="0" applyNumberFormat="1" applyAlignment="1">
      <alignment horizontal="center"/>
    </xf>
    <xf numFmtId="1" fontId="2" fillId="0" borderId="0" xfId="0" applyNumberFormat="1" applyFont="1" applyAlignment="1">
      <alignment horizontal="center"/>
    </xf>
    <xf numFmtId="3" fontId="0" fillId="2" borderId="0" xfId="0" applyNumberFormat="1" applyFill="1"/>
    <xf numFmtId="3" fontId="2" fillId="0" borderId="0" xfId="0" applyNumberFormat="1" applyFont="1" applyFill="1" applyAlignment="1">
      <alignment horizontal="center"/>
    </xf>
    <xf numFmtId="1" fontId="0" fillId="5" borderId="0" xfId="0" applyNumberFormat="1" applyFill="1" applyAlignment="1">
      <alignment horizontal="center"/>
    </xf>
    <xf numFmtId="165" fontId="0" fillId="0" borderId="0" xfId="1" applyNumberFormat="1" applyFont="1" applyFill="1" applyAlignment="1">
      <alignment horizontal="center"/>
    </xf>
    <xf numFmtId="165" fontId="0" fillId="3" borderId="0" xfId="1" applyNumberFormat="1" applyFont="1" applyFill="1" applyAlignment="1">
      <alignment horizontal="center"/>
    </xf>
    <xf numFmtId="3" fontId="0" fillId="0" borderId="0" xfId="0" applyNumberFormat="1" applyAlignment="1">
      <alignment horizontal="right"/>
    </xf>
    <xf numFmtId="3" fontId="2" fillId="0" borderId="0" xfId="2" applyNumberFormat="1" applyFont="1" applyFill="1" applyAlignment="1">
      <alignment horizontal="right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3" fontId="0" fillId="3" borderId="0" xfId="0" applyNumberForma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0" fillId="0" borderId="0" xfId="0" applyNumberFormat="1" applyFill="1" applyAlignment="1">
      <alignment horizontal="right"/>
    </xf>
    <xf numFmtId="3" fontId="2" fillId="0" borderId="0" xfId="0" applyNumberFormat="1" applyFont="1" applyAlignment="1">
      <alignment horizontal="right"/>
    </xf>
    <xf numFmtId="0" fontId="6" fillId="0" borderId="0" xfId="0" applyFont="1"/>
    <xf numFmtId="2" fontId="0" fillId="3" borderId="0" xfId="0" applyNumberFormat="1" applyFill="1"/>
    <xf numFmtId="4" fontId="0" fillId="0" borderId="0" xfId="0" applyNumberFormat="1"/>
    <xf numFmtId="0" fontId="0" fillId="6" borderId="0" xfId="0" applyFill="1"/>
    <xf numFmtId="10" fontId="0" fillId="6" borderId="0" xfId="0" applyNumberFormat="1" applyFill="1" applyAlignment="1">
      <alignment horizontal="right"/>
    </xf>
    <xf numFmtId="0" fontId="5" fillId="6" borderId="0" xfId="0" applyFont="1" applyFill="1"/>
    <xf numFmtId="3" fontId="0" fillId="6" borderId="0" xfId="0" applyNumberFormat="1" applyFill="1"/>
    <xf numFmtId="3" fontId="0" fillId="6" borderId="0" xfId="0" applyNumberFormat="1" applyFill="1" applyAlignment="1">
      <alignment horizontal="center"/>
    </xf>
    <xf numFmtId="3" fontId="2" fillId="6" borderId="0" xfId="0" applyNumberFormat="1" applyFont="1" applyFill="1"/>
    <xf numFmtId="3" fontId="0" fillId="6" borderId="0" xfId="0" applyNumberFormat="1" applyFill="1" applyAlignment="1">
      <alignment horizontal="right"/>
    </xf>
    <xf numFmtId="2" fontId="0" fillId="0" borderId="0" xfId="0" applyNumberFormat="1"/>
    <xf numFmtId="0" fontId="0" fillId="0" borderId="0" xfId="0" applyFill="1" applyAlignment="1">
      <alignment wrapText="1"/>
    </xf>
    <xf numFmtId="0" fontId="2" fillId="0" borderId="0" xfId="0" applyFont="1" applyFill="1" applyAlignment="1">
      <alignment wrapText="1"/>
    </xf>
    <xf numFmtId="1" fontId="0" fillId="0" borderId="0" xfId="0" applyNumberFormat="1" applyFill="1"/>
    <xf numFmtId="0" fontId="2" fillId="0" borderId="0" xfId="0" applyFont="1" applyFill="1"/>
    <xf numFmtId="0" fontId="7" fillId="0" borderId="0" xfId="0" applyFont="1" applyFill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7" fillId="0" borderId="0" xfId="0" applyNumberFormat="1" applyFont="1" applyFill="1" applyAlignment="1">
      <alignment vertical="top" wrapText="1"/>
    </xf>
    <xf numFmtId="3" fontId="7" fillId="0" borderId="0" xfId="0" applyNumberFormat="1" applyFont="1" applyFill="1" applyAlignment="1">
      <alignment vertical="top" wrapText="1"/>
    </xf>
    <xf numFmtId="0" fontId="2" fillId="6" borderId="0" xfId="0" applyFont="1" applyFill="1"/>
    <xf numFmtId="3" fontId="1" fillId="7" borderId="0" xfId="2" applyNumberFormat="1" applyFont="1" applyFill="1" applyAlignment="1" applyProtection="1">
      <alignment wrapText="1"/>
      <protection locked="0"/>
    </xf>
    <xf numFmtId="49" fontId="2" fillId="0" borderId="0" xfId="0" applyNumberFormat="1" applyFont="1" applyFill="1" applyAlignment="1"/>
    <xf numFmtId="0" fontId="2" fillId="0" borderId="0" xfId="0" applyFont="1" applyFill="1" applyAlignment="1"/>
    <xf numFmtId="0" fontId="7" fillId="0" borderId="0" xfId="0" applyFont="1" applyFill="1" applyAlignment="1">
      <alignment vertical="top" wrapText="1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</cellXfs>
  <cellStyles count="3">
    <cellStyle name="Comma" xfId="1" builtinId="3"/>
    <cellStyle name="Normal" xfId="0" builtinId="0"/>
    <cellStyle name="Normal_Sheet1" xfId="2"/>
  </cellStyles>
  <dxfs count="2">
    <dxf>
      <fill>
        <patternFill>
          <bgColor indexed="14"/>
        </patternFill>
      </fill>
    </dxf>
    <dxf>
      <fill>
        <patternFill>
          <bgColor indexed="13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9396" name="DiffData_0001"/>
        <xdr:cNvSpPr>
          <a:spLocks noChangeArrowheads="1"/>
        </xdr:cNvSpPr>
      </xdr:nvSpPr>
      <xdr:spPr bwMode="auto">
        <a:xfrm>
          <a:off x="1628775" y="0"/>
          <a:ext cx="0" cy="0"/>
        </a:xfrm>
        <a:prstGeom prst="rect">
          <a:avLst/>
        </a:prstGeom>
        <a:noFill/>
        <a:ln w="1587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9397" name="DiffData_0002"/>
        <xdr:cNvSpPr>
          <a:spLocks noChangeArrowheads="1"/>
        </xdr:cNvSpPr>
      </xdr:nvSpPr>
      <xdr:spPr bwMode="auto">
        <a:xfrm>
          <a:off x="1628775" y="0"/>
          <a:ext cx="0" cy="0"/>
        </a:xfrm>
        <a:prstGeom prst="rect">
          <a:avLst/>
        </a:prstGeom>
        <a:noFill/>
        <a:ln w="1587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9398" name="DiffData_0003"/>
        <xdr:cNvSpPr>
          <a:spLocks noChangeArrowheads="1"/>
        </xdr:cNvSpPr>
      </xdr:nvSpPr>
      <xdr:spPr bwMode="auto">
        <a:xfrm>
          <a:off x="1628775" y="0"/>
          <a:ext cx="0" cy="0"/>
        </a:xfrm>
        <a:prstGeom prst="rect">
          <a:avLst/>
        </a:prstGeom>
        <a:noFill/>
        <a:ln w="1587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9399" name="DiffData_0004"/>
        <xdr:cNvSpPr>
          <a:spLocks noChangeArrowheads="1"/>
        </xdr:cNvSpPr>
      </xdr:nvSpPr>
      <xdr:spPr bwMode="auto">
        <a:xfrm>
          <a:off x="1628775" y="0"/>
          <a:ext cx="0" cy="0"/>
        </a:xfrm>
        <a:prstGeom prst="rect">
          <a:avLst/>
        </a:prstGeom>
        <a:noFill/>
        <a:ln w="1587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9400" name="DiffData_0005"/>
        <xdr:cNvSpPr>
          <a:spLocks noChangeArrowheads="1"/>
        </xdr:cNvSpPr>
      </xdr:nvSpPr>
      <xdr:spPr bwMode="auto">
        <a:xfrm>
          <a:off x="1628775" y="0"/>
          <a:ext cx="0" cy="0"/>
        </a:xfrm>
        <a:prstGeom prst="rect">
          <a:avLst/>
        </a:prstGeom>
        <a:noFill/>
        <a:ln w="1587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9401" name="DiffData_0006"/>
        <xdr:cNvSpPr>
          <a:spLocks noChangeArrowheads="1"/>
        </xdr:cNvSpPr>
      </xdr:nvSpPr>
      <xdr:spPr bwMode="auto">
        <a:xfrm>
          <a:off x="1628775" y="0"/>
          <a:ext cx="0" cy="0"/>
        </a:xfrm>
        <a:prstGeom prst="rect">
          <a:avLst/>
        </a:prstGeom>
        <a:noFill/>
        <a:ln w="1587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9402" name="DiffData_0007"/>
        <xdr:cNvSpPr>
          <a:spLocks noChangeArrowheads="1"/>
        </xdr:cNvSpPr>
      </xdr:nvSpPr>
      <xdr:spPr bwMode="auto">
        <a:xfrm>
          <a:off x="2238375" y="0"/>
          <a:ext cx="514350" cy="0"/>
        </a:xfrm>
        <a:prstGeom prst="rect">
          <a:avLst/>
        </a:prstGeom>
        <a:noFill/>
        <a:ln w="1587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403" name="DiffData_0008"/>
        <xdr:cNvSpPr>
          <a:spLocks noChangeArrowheads="1"/>
        </xdr:cNvSpPr>
      </xdr:nvSpPr>
      <xdr:spPr bwMode="auto">
        <a:xfrm>
          <a:off x="2238375" y="0"/>
          <a:ext cx="0" cy="0"/>
        </a:xfrm>
        <a:prstGeom prst="rect">
          <a:avLst/>
        </a:prstGeom>
        <a:noFill/>
        <a:ln w="1587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404" name="DiffData_0009"/>
        <xdr:cNvSpPr>
          <a:spLocks noChangeArrowheads="1"/>
        </xdr:cNvSpPr>
      </xdr:nvSpPr>
      <xdr:spPr bwMode="auto">
        <a:xfrm>
          <a:off x="2238375" y="0"/>
          <a:ext cx="0" cy="0"/>
        </a:xfrm>
        <a:prstGeom prst="rect">
          <a:avLst/>
        </a:prstGeom>
        <a:noFill/>
        <a:ln w="1587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405" name="DiffData_0010"/>
        <xdr:cNvSpPr>
          <a:spLocks noChangeArrowheads="1"/>
        </xdr:cNvSpPr>
      </xdr:nvSpPr>
      <xdr:spPr bwMode="auto">
        <a:xfrm>
          <a:off x="2238375" y="0"/>
          <a:ext cx="0" cy="0"/>
        </a:xfrm>
        <a:prstGeom prst="rect">
          <a:avLst/>
        </a:prstGeom>
        <a:noFill/>
        <a:ln w="1587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406" name="DiffData_0011"/>
        <xdr:cNvSpPr>
          <a:spLocks noChangeArrowheads="1"/>
        </xdr:cNvSpPr>
      </xdr:nvSpPr>
      <xdr:spPr bwMode="auto">
        <a:xfrm>
          <a:off x="2238375" y="0"/>
          <a:ext cx="0" cy="0"/>
        </a:xfrm>
        <a:prstGeom prst="rect">
          <a:avLst/>
        </a:prstGeom>
        <a:noFill/>
        <a:ln w="1587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407" name="DiffData_0012"/>
        <xdr:cNvSpPr>
          <a:spLocks noChangeArrowheads="1"/>
        </xdr:cNvSpPr>
      </xdr:nvSpPr>
      <xdr:spPr bwMode="auto">
        <a:xfrm>
          <a:off x="2238375" y="0"/>
          <a:ext cx="0" cy="0"/>
        </a:xfrm>
        <a:prstGeom prst="rect">
          <a:avLst/>
        </a:prstGeom>
        <a:noFill/>
        <a:ln w="1587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408" name="DiffData_0013"/>
        <xdr:cNvSpPr>
          <a:spLocks noChangeArrowheads="1"/>
        </xdr:cNvSpPr>
      </xdr:nvSpPr>
      <xdr:spPr bwMode="auto">
        <a:xfrm>
          <a:off x="2238375" y="0"/>
          <a:ext cx="0" cy="0"/>
        </a:xfrm>
        <a:prstGeom prst="rect">
          <a:avLst/>
        </a:prstGeom>
        <a:noFill/>
        <a:ln w="1587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409" name="DiffData_0014"/>
        <xdr:cNvSpPr>
          <a:spLocks noChangeArrowheads="1"/>
        </xdr:cNvSpPr>
      </xdr:nvSpPr>
      <xdr:spPr bwMode="auto">
        <a:xfrm>
          <a:off x="2238375" y="0"/>
          <a:ext cx="0" cy="0"/>
        </a:xfrm>
        <a:prstGeom prst="rect">
          <a:avLst/>
        </a:prstGeom>
        <a:noFill/>
        <a:ln w="1587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410" name="DiffData_0015"/>
        <xdr:cNvSpPr>
          <a:spLocks noChangeArrowheads="1"/>
        </xdr:cNvSpPr>
      </xdr:nvSpPr>
      <xdr:spPr bwMode="auto">
        <a:xfrm>
          <a:off x="2238375" y="0"/>
          <a:ext cx="0" cy="0"/>
        </a:xfrm>
        <a:prstGeom prst="rect">
          <a:avLst/>
        </a:prstGeom>
        <a:noFill/>
        <a:ln w="1587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411" name="DiffData_0016"/>
        <xdr:cNvSpPr>
          <a:spLocks noChangeArrowheads="1"/>
        </xdr:cNvSpPr>
      </xdr:nvSpPr>
      <xdr:spPr bwMode="auto">
        <a:xfrm>
          <a:off x="2238375" y="0"/>
          <a:ext cx="0" cy="0"/>
        </a:xfrm>
        <a:prstGeom prst="rect">
          <a:avLst/>
        </a:prstGeom>
        <a:noFill/>
        <a:ln w="1587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412" name="DiffData_0017"/>
        <xdr:cNvSpPr>
          <a:spLocks noChangeArrowheads="1"/>
        </xdr:cNvSpPr>
      </xdr:nvSpPr>
      <xdr:spPr bwMode="auto">
        <a:xfrm>
          <a:off x="2238375" y="0"/>
          <a:ext cx="0" cy="0"/>
        </a:xfrm>
        <a:prstGeom prst="rect">
          <a:avLst/>
        </a:prstGeom>
        <a:noFill/>
        <a:ln w="15875">
          <a:solidFill>
            <a:srgbClr val="FF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413" name="DiffData_0018"/>
        <xdr:cNvSpPr>
          <a:spLocks noChangeArrowheads="1"/>
        </xdr:cNvSpPr>
      </xdr:nvSpPr>
      <xdr:spPr bwMode="auto">
        <a:xfrm>
          <a:off x="2238375" y="0"/>
          <a:ext cx="0" cy="0"/>
        </a:xfrm>
        <a:prstGeom prst="rect">
          <a:avLst/>
        </a:prstGeom>
        <a:noFill/>
        <a:ln w="15875">
          <a:solidFill>
            <a:srgbClr val="FF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08"/>
  <sheetViews>
    <sheetView zoomScale="75" zoomScaleNormal="75" workbookViewId="0">
      <pane ySplit="1" topLeftCell="A185" activePane="bottomLeft" state="frozen"/>
      <selection pane="bottomLeft" activeCell="D29" sqref="D29"/>
    </sheetView>
  </sheetViews>
  <sheetFormatPr defaultColWidth="8.85546875" defaultRowHeight="12.95" customHeight="1" x14ac:dyDescent="0.2"/>
  <cols>
    <col min="1" max="1" width="8" style="5" customWidth="1"/>
    <col min="2" max="2" width="9" customWidth="1"/>
    <col min="3" max="3" width="14.28515625" style="9" customWidth="1"/>
    <col min="4" max="4" width="10.140625" customWidth="1"/>
    <col min="5" max="5" width="9.85546875" customWidth="1"/>
    <col min="6" max="6" width="10.42578125" customWidth="1"/>
    <col min="7" max="7" width="16" style="6" customWidth="1"/>
    <col min="8" max="8" width="13.28515625" style="17" customWidth="1"/>
    <col min="9" max="9" width="17.140625" customWidth="1"/>
    <col min="10" max="10" width="16.7109375" style="46" customWidth="1"/>
    <col min="11" max="11" width="13.5703125" style="33" customWidth="1"/>
    <col min="12" max="12" width="16.7109375" customWidth="1"/>
    <col min="13" max="13" width="15.140625" style="33" customWidth="1"/>
    <col min="14" max="14" width="15.140625" style="46" customWidth="1"/>
    <col min="15" max="16" width="13.28515625" style="46" customWidth="1"/>
    <col min="17" max="17" width="15.140625" style="5" customWidth="1"/>
    <col min="18" max="18" width="10.42578125" style="5" customWidth="1"/>
    <col min="19" max="19" width="20" style="5" customWidth="1"/>
    <col min="20" max="20" width="14.85546875" style="46" customWidth="1"/>
    <col min="21" max="21" width="12.28515625" style="46" customWidth="1"/>
    <col min="22" max="22" width="13.140625" customWidth="1"/>
    <col min="23" max="23" width="12.7109375" customWidth="1"/>
    <col min="24" max="24" width="8.5703125" customWidth="1"/>
    <col min="25" max="25" width="13.28515625" style="5" customWidth="1"/>
    <col min="26" max="26" width="10.7109375" style="5" customWidth="1"/>
    <col min="27" max="27" width="10.140625" style="13" customWidth="1"/>
    <col min="28" max="29" width="10" style="13" customWidth="1"/>
    <col min="30" max="30" width="9.85546875" style="13" customWidth="1"/>
    <col min="31" max="31" width="13.28515625" style="59" customWidth="1"/>
    <col min="32" max="32" width="3" customWidth="1"/>
  </cols>
  <sheetData>
    <row r="1" spans="1:31" s="68" customFormat="1" ht="129.75" customHeight="1" x14ac:dyDescent="0.2">
      <c r="A1" s="68" t="s">
        <v>47</v>
      </c>
      <c r="B1" s="69" t="s">
        <v>217</v>
      </c>
      <c r="C1" s="69" t="s">
        <v>218</v>
      </c>
      <c r="D1" s="70" t="s">
        <v>453</v>
      </c>
      <c r="E1" s="68" t="s">
        <v>454</v>
      </c>
      <c r="F1" s="70" t="s">
        <v>455</v>
      </c>
      <c r="G1" s="70" t="s">
        <v>456</v>
      </c>
      <c r="H1" s="70" t="s">
        <v>255</v>
      </c>
      <c r="I1" s="68" t="s">
        <v>48</v>
      </c>
      <c r="J1" s="68" t="s">
        <v>366</v>
      </c>
      <c r="K1" s="68" t="s">
        <v>429</v>
      </c>
      <c r="L1" s="68" t="s">
        <v>365</v>
      </c>
      <c r="M1" s="68" t="s">
        <v>266</v>
      </c>
      <c r="N1" s="68" t="s">
        <v>448</v>
      </c>
      <c r="O1" s="68" t="s">
        <v>449</v>
      </c>
      <c r="T1" s="76" t="s">
        <v>450</v>
      </c>
      <c r="U1" s="76"/>
      <c r="V1" s="68" t="s">
        <v>451</v>
      </c>
      <c r="W1" s="68" t="s">
        <v>452</v>
      </c>
      <c r="AA1" s="71" t="s">
        <v>430</v>
      </c>
      <c r="AB1" s="71" t="s">
        <v>215</v>
      </c>
      <c r="AC1" s="71" t="s">
        <v>431</v>
      </c>
      <c r="AD1" s="71" t="s">
        <v>435</v>
      </c>
      <c r="AE1" s="71" t="s">
        <v>436</v>
      </c>
    </row>
    <row r="2" spans="1:31" ht="58.5" customHeight="1" x14ac:dyDescent="0.2">
      <c r="A2" s="1" t="s">
        <v>219</v>
      </c>
      <c r="B2" s="1" t="s">
        <v>421</v>
      </c>
      <c r="C2" s="8" t="s">
        <v>422</v>
      </c>
      <c r="D2" s="10">
        <v>5.837711617046118E-4</v>
      </c>
      <c r="E2" s="10"/>
      <c r="F2" s="10">
        <v>5.837711617046118E-4</v>
      </c>
      <c r="G2" s="19">
        <f>89188*0.01533</f>
        <v>1367.2520400000001</v>
      </c>
      <c r="H2" s="12">
        <v>20</v>
      </c>
      <c r="I2" s="13">
        <f t="shared" ref="I2:I47" si="0">SUM(G2+H2)</f>
        <v>1387.2520400000001</v>
      </c>
      <c r="J2" s="43">
        <f t="shared" ref="J2:J47" si="1">G2+H2+(0.2*H2)</f>
        <v>1391.2520400000001</v>
      </c>
      <c r="K2" s="41">
        <f>(F2)*J2*assumptions!$A$3</f>
        <v>0.52791233274956229</v>
      </c>
      <c r="L2" s="66"/>
      <c r="M2" s="35">
        <v>86</v>
      </c>
      <c r="N2" s="43">
        <f>(F2)*J2*assumptions!$A$3*('Sorted by Region'!M2/100)</f>
        <v>0.45400460616462357</v>
      </c>
      <c r="O2" s="43">
        <f>(F2)*J2*(assumptions!$A$3)*((100-'Sorted by Region'!M2)/100)</f>
        <v>7.3907726584938729E-2</v>
      </c>
      <c r="P2" s="43"/>
      <c r="T2" s="47" t="s">
        <v>212</v>
      </c>
      <c r="U2" s="47" t="s">
        <v>213</v>
      </c>
      <c r="V2" s="28"/>
      <c r="W2" s="13"/>
      <c r="Z2" s="5" t="s">
        <v>49</v>
      </c>
    </row>
    <row r="3" spans="1:31" ht="12.95" customHeight="1" x14ac:dyDescent="0.2">
      <c r="A3" s="1" t="s">
        <v>219</v>
      </c>
      <c r="B3" s="1" t="s">
        <v>152</v>
      </c>
      <c r="C3" s="8" t="s">
        <v>153</v>
      </c>
      <c r="D3" s="10"/>
      <c r="E3" s="10">
        <v>1.5306801543990417E-3</v>
      </c>
      <c r="F3" s="10">
        <v>1.5306801543990417E-3</v>
      </c>
      <c r="G3" s="12">
        <v>18092</v>
      </c>
      <c r="H3" s="12">
        <v>180</v>
      </c>
      <c r="I3" s="13">
        <f t="shared" si="0"/>
        <v>18272</v>
      </c>
      <c r="J3" s="43">
        <f t="shared" si="1"/>
        <v>18308</v>
      </c>
      <c r="K3" s="41">
        <f>(F3)*J3*assumptions!$A$3</f>
        <v>18.215399973379476</v>
      </c>
      <c r="L3" s="66"/>
      <c r="M3" s="35">
        <v>86</v>
      </c>
      <c r="N3" s="43">
        <f>(F3)*J3*assumptions!$A$3*('Sorted by Region'!M3/100)</f>
        <v>15.66524397710635</v>
      </c>
      <c r="O3" s="43">
        <f>(F3)*J3*(assumptions!$A$3)*((100-'Sorted by Region'!M3)/100)</f>
        <v>2.5501559962731268</v>
      </c>
      <c r="P3" s="43"/>
      <c r="Q3" s="5" t="s">
        <v>443</v>
      </c>
      <c r="R3" s="5" t="s">
        <v>195</v>
      </c>
      <c r="S3" s="5" t="s">
        <v>208</v>
      </c>
      <c r="T3" s="43">
        <f>N$48*(1-assumptions!B$15)*assumptions!E$6</f>
        <v>194826.42259786886</v>
      </c>
      <c r="U3" s="43">
        <f>N$48*(assumptions!B$15)*assumptions!E$6*(1-assumptions!F$6)</f>
        <v>3421.9512687061592</v>
      </c>
      <c r="V3" s="13">
        <f>O$48*assumptions!E$6</f>
        <v>61832.005443784343</v>
      </c>
      <c r="W3" s="13">
        <f>SUM(T3,U3,V3)</f>
        <v>260080.37931035936</v>
      </c>
      <c r="X3" s="13"/>
      <c r="Y3" s="5" t="s">
        <v>225</v>
      </c>
      <c r="Z3" s="5" t="s">
        <v>195</v>
      </c>
      <c r="AA3" s="13">
        <f>N$48*assumptions!E$6</f>
        <v>216473.80288652095</v>
      </c>
      <c r="AB3" s="13">
        <f>O$48*assumptions!E$6</f>
        <v>61832.005443784343</v>
      </c>
      <c r="AC3" s="13">
        <f>SUM(AA3,AB3)</f>
        <v>278305.80833030527</v>
      </c>
      <c r="AD3" s="13">
        <f>AC3-W4</f>
        <v>54676.287059837778</v>
      </c>
      <c r="AE3" s="59">
        <f>AC3-W6</f>
        <v>147625.97506156206</v>
      </c>
    </row>
    <row r="4" spans="1:31" ht="12.95" customHeight="1" x14ac:dyDescent="0.2">
      <c r="A4" s="1" t="s">
        <v>219</v>
      </c>
      <c r="B4" s="1" t="s">
        <v>352</v>
      </c>
      <c r="C4" s="8" t="s">
        <v>353</v>
      </c>
      <c r="D4" s="10"/>
      <c r="E4" s="10">
        <v>2.7544107794238069E-3</v>
      </c>
      <c r="F4" s="10">
        <v>2.7544107794238069E-3</v>
      </c>
      <c r="G4" s="12">
        <v>341754</v>
      </c>
      <c r="H4" s="12">
        <v>8560</v>
      </c>
      <c r="I4" s="13">
        <f t="shared" si="0"/>
        <v>350314</v>
      </c>
      <c r="J4" s="43">
        <f t="shared" si="1"/>
        <v>352026</v>
      </c>
      <c r="K4" s="41">
        <f>(F4)*J4*assumptions!$A$3</f>
        <v>630.25573587433928</v>
      </c>
      <c r="L4" s="66">
        <v>84</v>
      </c>
      <c r="M4" s="36">
        <v>84</v>
      </c>
      <c r="N4" s="43">
        <f>(F4)*J4*assumptions!$A$3*('Sorted by Region'!M4/100)</f>
        <v>529.414818134445</v>
      </c>
      <c r="O4" s="43">
        <f>(F4)*J4*(assumptions!$A$3)*((100-'Sorted by Region'!M4)/100)</f>
        <v>100.84091773989428</v>
      </c>
      <c r="P4" s="43"/>
      <c r="S4" s="5" t="s">
        <v>209</v>
      </c>
      <c r="T4" s="43">
        <f>N$48*(1-assumptions!C$15)*assumptions!E$6</f>
        <v>151531.66202056466</v>
      </c>
      <c r="U4" s="43">
        <f>N$48*(assumptions!C$15)*assumptions!E$6*(1-assumptions!F$6)</f>
        <v>10265.853806118475</v>
      </c>
      <c r="V4" s="29"/>
      <c r="W4" s="13">
        <f>SUM(T4,U4,V3)</f>
        <v>223629.52127046749</v>
      </c>
      <c r="Z4" s="5" t="s">
        <v>197</v>
      </c>
      <c r="AA4" s="13">
        <f>N$106*assumptions!E$6</f>
        <v>13451.78046798554</v>
      </c>
      <c r="AB4" s="13">
        <f>O$106*assumptions!E$6</f>
        <v>7380.567159300871</v>
      </c>
      <c r="AC4" s="13">
        <f t="shared" ref="AC4:AC10" si="2">SUM(AA4,AB4)</f>
        <v>20832.34762728641</v>
      </c>
      <c r="AD4" s="13">
        <f>AC4-W8</f>
        <v>3397.6093205100406</v>
      </c>
      <c r="AE4" s="59">
        <f>AC4-W10</f>
        <v>9173.5451653771088</v>
      </c>
    </row>
    <row r="5" spans="1:31" ht="12.95" customHeight="1" x14ac:dyDescent="0.2">
      <c r="A5" s="1" t="s">
        <v>219</v>
      </c>
      <c r="B5" s="1" t="s">
        <v>310</v>
      </c>
      <c r="C5" s="8" t="s">
        <v>311</v>
      </c>
      <c r="D5" s="10"/>
      <c r="E5" s="10">
        <v>3.6101083032490976E-3</v>
      </c>
      <c r="F5" s="10">
        <v>3.5999999999999999E-3</v>
      </c>
      <c r="G5" s="12">
        <v>223173</v>
      </c>
      <c r="H5" s="12">
        <v>6940</v>
      </c>
      <c r="I5" s="13">
        <f t="shared" si="0"/>
        <v>230113</v>
      </c>
      <c r="J5" s="43">
        <f t="shared" si="1"/>
        <v>231501</v>
      </c>
      <c r="K5" s="41">
        <f>(F5)*J5*assumptions!$A$3</f>
        <v>541.71234000000004</v>
      </c>
      <c r="L5" s="66">
        <v>87</v>
      </c>
      <c r="M5" s="40">
        <v>87</v>
      </c>
      <c r="N5" s="43">
        <f>(F5)*J5*assumptions!$A$3*('Sorted by Region'!M5/100)</f>
        <v>471.28973580000002</v>
      </c>
      <c r="O5" s="43">
        <f>(F5)*J5*(assumptions!$A$3)*((100-'Sorted by Region'!M5)/100)</f>
        <v>70.422604200000009</v>
      </c>
      <c r="P5" s="43"/>
      <c r="S5" s="5" t="s">
        <v>210</v>
      </c>
      <c r="T5" s="43">
        <f>N$48*(1-assumptions!D$15)*assumptions!E$6</f>
        <v>108236.90144326047</v>
      </c>
      <c r="U5" s="43">
        <f>N$48*(assumptions!D$15)*assumptions!E$6*(1-assumptions!F$6)</f>
        <v>17109.756343530793</v>
      </c>
      <c r="V5" s="29"/>
      <c r="W5" s="13">
        <f>SUM(T5,U5,V3)</f>
        <v>187178.66323057562</v>
      </c>
      <c r="Z5" s="5" t="s">
        <v>198</v>
      </c>
      <c r="AA5" s="13">
        <f>N$160*assumptions!E$6</f>
        <v>10939.923119429746</v>
      </c>
      <c r="AB5" s="13">
        <f>O$160*assumptions!E$6</f>
        <v>293.04319477477554</v>
      </c>
      <c r="AC5" s="13">
        <f t="shared" si="2"/>
        <v>11232.966314204521</v>
      </c>
      <c r="AD5" s="13">
        <f>AC5-W12</f>
        <v>6447.4016138085371</v>
      </c>
      <c r="AE5" s="59">
        <f>AC5-W14</f>
        <v>8289.5163606109782</v>
      </c>
    </row>
    <row r="6" spans="1:31" ht="12.95" customHeight="1" x14ac:dyDescent="0.2">
      <c r="A6" s="1" t="s">
        <v>219</v>
      </c>
      <c r="B6" s="1" t="s">
        <v>79</v>
      </c>
      <c r="C6" s="8" t="s">
        <v>80</v>
      </c>
      <c r="D6" s="10">
        <v>4.4120468060617687E-3</v>
      </c>
      <c r="E6" s="10">
        <v>1.7756732761171944E-3</v>
      </c>
      <c r="F6" s="10">
        <v>4.4120468060617687E-3</v>
      </c>
      <c r="G6" s="12">
        <v>721870</v>
      </c>
      <c r="H6" s="12">
        <v>23850</v>
      </c>
      <c r="I6" s="13">
        <f t="shared" si="0"/>
        <v>745720</v>
      </c>
      <c r="J6" s="43">
        <f t="shared" si="1"/>
        <v>750490</v>
      </c>
      <c r="K6" s="41">
        <f>(F6)*J6*assumptions!$A$3</f>
        <v>2152.278054862843</v>
      </c>
      <c r="L6" s="66">
        <v>85</v>
      </c>
      <c r="M6" s="36">
        <v>85</v>
      </c>
      <c r="N6" s="43">
        <f>(F6)*J6*assumptions!$A$3*('Sorted by Region'!M6/100)</f>
        <v>1829.4363466334164</v>
      </c>
      <c r="O6" s="43">
        <f>(F6)*J6*(assumptions!$A$3)*((100-'Sorted by Region'!M6)/100)</f>
        <v>322.84170822942644</v>
      </c>
      <c r="P6" s="43"/>
      <c r="S6" s="72" t="s">
        <v>434</v>
      </c>
      <c r="T6" s="62">
        <f>N$48*(1-assumptions!E$15)*assumptions!E$6</f>
        <v>41130.022548438974</v>
      </c>
      <c r="U6" s="62">
        <f>N$48*(assumptions!E$15)*assumptions!E$6*(1-assumptions!F$6)</f>
        <v>27717.805276519888</v>
      </c>
      <c r="V6" s="59"/>
      <c r="W6" s="59">
        <f>SUM(T6,U6,V3)</f>
        <v>130679.83326874321</v>
      </c>
      <c r="Z6" s="5" t="s">
        <v>207</v>
      </c>
      <c r="AA6" s="13">
        <f>N$84*assumptions!E$6</f>
        <v>52099.919203485908</v>
      </c>
      <c r="AB6" s="13">
        <f>O$84*assumptions!E$6</f>
        <v>3280.0082484906752</v>
      </c>
      <c r="AC6" s="13">
        <f t="shared" si="2"/>
        <v>55379.927451976582</v>
      </c>
      <c r="AD6" s="13">
        <f>AC6-W16</f>
        <v>26318.474569945531</v>
      </c>
      <c r="AE6" s="59">
        <f>AC6-W18</f>
        <v>35529.940669426469</v>
      </c>
    </row>
    <row r="7" spans="1:31" ht="12.95" customHeight="1" x14ac:dyDescent="0.2">
      <c r="A7" s="1" t="s">
        <v>219</v>
      </c>
      <c r="B7" s="1" t="s">
        <v>328</v>
      </c>
      <c r="C7" s="8" t="s">
        <v>329</v>
      </c>
      <c r="D7" s="10"/>
      <c r="E7" s="10">
        <v>5.5790108564535588E-3</v>
      </c>
      <c r="F7" s="10">
        <v>5.5790108564535588E-3</v>
      </c>
      <c r="G7" s="12">
        <v>704287</v>
      </c>
      <c r="H7" s="12">
        <v>18540</v>
      </c>
      <c r="I7" s="13">
        <f t="shared" si="0"/>
        <v>722827</v>
      </c>
      <c r="J7" s="43">
        <f t="shared" si="1"/>
        <v>726535</v>
      </c>
      <c r="K7" s="41">
        <f>(F7)*J7*assumptions!$A$3</f>
        <v>2634.6753241857664</v>
      </c>
      <c r="L7" s="66">
        <v>82</v>
      </c>
      <c r="M7" s="36">
        <v>82</v>
      </c>
      <c r="N7" s="43">
        <f>(F7)*J7*assumptions!$A$3*('Sorted by Region'!M7/100)</f>
        <v>2160.4337658323284</v>
      </c>
      <c r="O7" s="43">
        <f>(F7)*J7*(assumptions!$A$3)*((100-'Sorted by Region'!M7)/100)</f>
        <v>474.24155835343794</v>
      </c>
      <c r="P7" s="43"/>
      <c r="R7" s="5" t="s">
        <v>197</v>
      </c>
      <c r="S7" s="5" t="s">
        <v>208</v>
      </c>
      <c r="T7" s="43">
        <f>N$106*(1-assumptions!B$16)*assumptions!E$6</f>
        <v>12106.602421186984</v>
      </c>
      <c r="U7" s="43">
        <f>N$106*assumptions!B$16*assumptions!E$6*(1-assumptions!F$6)</f>
        <v>212.64160662854073</v>
      </c>
      <c r="V7" s="13">
        <f>O$106*assumptions!E$6</f>
        <v>7380.567159300871</v>
      </c>
      <c r="W7" s="13">
        <f>SUM(T7,U7,V7)</f>
        <v>19699.811187116396</v>
      </c>
      <c r="X7" s="13"/>
      <c r="Z7" s="5" t="s">
        <v>199</v>
      </c>
      <c r="AA7" s="13">
        <f>N$172*assumptions!E$6</f>
        <v>246309.54626898028</v>
      </c>
      <c r="AB7" s="13">
        <f>O$172*assumptions!E$6</f>
        <v>67402.944963533213</v>
      </c>
      <c r="AC7" s="13">
        <f t="shared" si="2"/>
        <v>313712.49123251351</v>
      </c>
      <c r="AD7" s="13">
        <f>AC7-W20</f>
        <v>82949.476428122784</v>
      </c>
      <c r="AE7" s="59">
        <f>AC7-W22</f>
        <v>167972.68976694858</v>
      </c>
    </row>
    <row r="8" spans="1:31" ht="12.95" customHeight="1" x14ac:dyDescent="0.2">
      <c r="A8" s="1" t="s">
        <v>219</v>
      </c>
      <c r="B8" s="1" t="s">
        <v>372</v>
      </c>
      <c r="C8" s="8" t="s">
        <v>373</v>
      </c>
      <c r="D8" s="10">
        <v>5.7631351455191627E-3</v>
      </c>
      <c r="E8" s="10"/>
      <c r="F8" s="10">
        <v>5.7631351455191627E-3</v>
      </c>
      <c r="G8" s="12">
        <v>12036</v>
      </c>
      <c r="H8" s="12">
        <v>230</v>
      </c>
      <c r="I8" s="13">
        <f t="shared" si="0"/>
        <v>12266</v>
      </c>
      <c r="J8" s="43">
        <f t="shared" si="1"/>
        <v>12312</v>
      </c>
      <c r="K8" s="41">
        <f>(F8)*J8*assumptions!$A$3</f>
        <v>46.121217942560754</v>
      </c>
      <c r="L8" s="66">
        <v>98</v>
      </c>
      <c r="M8" s="36">
        <v>98</v>
      </c>
      <c r="N8" s="43">
        <f>(F8)*J8*assumptions!$A$3*('Sorted by Region'!M8/100)</f>
        <v>45.198793583709538</v>
      </c>
      <c r="O8" s="43">
        <f>(F8)*J8*(assumptions!$A$3)*((100-'Sorted by Region'!M8)/100)</f>
        <v>0.9224243588512151</v>
      </c>
      <c r="P8" s="43"/>
      <c r="S8" s="5" t="s">
        <v>209</v>
      </c>
      <c r="T8" s="43">
        <f>N$106*(1-assumptions!C$16)*assumptions!E$6</f>
        <v>9416.2463275898772</v>
      </c>
      <c r="U8" s="43">
        <f>N$106*assumptions!C$16*assumptions!E$6*(1-assumptions!F$6)</f>
        <v>637.92481988562201</v>
      </c>
      <c r="V8" s="29"/>
      <c r="W8" s="13">
        <f>SUM(T8,U8,V7)</f>
        <v>17434.738306776369</v>
      </c>
      <c r="Z8" s="5" t="s">
        <v>200</v>
      </c>
      <c r="AA8" s="13">
        <f>N$200*assumptions!E$6</f>
        <v>25256.187025588231</v>
      </c>
      <c r="AB8" s="13">
        <f>O$200*assumptions!E$6</f>
        <v>2732.6451851233564</v>
      </c>
      <c r="AC8" s="13">
        <f t="shared" si="2"/>
        <v>27988.832210711589</v>
      </c>
      <c r="AD8" s="13">
        <f>AC8-W24</f>
        <v>12758.260015156764</v>
      </c>
      <c r="AE8" s="59">
        <f>AC8-W26</f>
        <v>17223.651020461635</v>
      </c>
    </row>
    <row r="9" spans="1:31" ht="12.95" customHeight="1" x14ac:dyDescent="0.2">
      <c r="A9" s="1" t="s">
        <v>219</v>
      </c>
      <c r="B9" s="1" t="s">
        <v>50</v>
      </c>
      <c r="C9" s="8" t="s">
        <v>51</v>
      </c>
      <c r="D9" s="10">
        <v>8.3668369010105395E-3</v>
      </c>
      <c r="E9" s="10"/>
      <c r="F9" s="10">
        <v>8.3668369010105395E-3</v>
      </c>
      <c r="G9" s="12">
        <v>714460</v>
      </c>
      <c r="H9" s="12">
        <v>8210</v>
      </c>
      <c r="I9" s="13">
        <f t="shared" si="0"/>
        <v>722670</v>
      </c>
      <c r="J9" s="43">
        <f t="shared" si="1"/>
        <v>724312</v>
      </c>
      <c r="K9" s="41">
        <f>(F9)*J9*assumptions!$A$3</f>
        <v>3939.1302401390849</v>
      </c>
      <c r="L9" s="66">
        <v>89</v>
      </c>
      <c r="M9" s="36">
        <v>89</v>
      </c>
      <c r="N9" s="43">
        <f>(F9)*J9*assumptions!$A$3*('Sorted by Region'!M9/100)</f>
        <v>3505.8259137237856</v>
      </c>
      <c r="O9" s="43">
        <f>(F9)*J9*(assumptions!$A$3)*((100-'Sorted by Region'!M9)/100)</f>
        <v>433.30432641529933</v>
      </c>
      <c r="P9" s="43"/>
      <c r="S9" s="5" t="s">
        <v>210</v>
      </c>
      <c r="T9" s="43">
        <f>N$106*(1-assumptions!D$16)*assumptions!E$6</f>
        <v>6725.8902339927699</v>
      </c>
      <c r="U9" s="43">
        <f>N$106*assumptions!D$16*assumptions!E$6*(1-assumptions!F$6)</f>
        <v>1063.2080331427035</v>
      </c>
      <c r="V9" s="29"/>
      <c r="W9" s="13">
        <f>SUM(T9,U9,V7)</f>
        <v>15169.665426436344</v>
      </c>
    </row>
    <row r="10" spans="1:31" ht="12.95" customHeight="1" x14ac:dyDescent="0.2">
      <c r="A10" s="1" t="s">
        <v>219</v>
      </c>
      <c r="B10" s="1" t="s">
        <v>370</v>
      </c>
      <c r="C10" s="8" t="s">
        <v>371</v>
      </c>
      <c r="D10" s="10">
        <v>8.543901108889293E-3</v>
      </c>
      <c r="E10" s="10">
        <v>3.5606195478013174E-3</v>
      </c>
      <c r="F10" s="10">
        <v>8.543901108889293E-3</v>
      </c>
      <c r="G10" s="12">
        <v>5146</v>
      </c>
      <c r="H10" s="12">
        <v>120</v>
      </c>
      <c r="I10" s="13">
        <f t="shared" si="0"/>
        <v>5266</v>
      </c>
      <c r="J10" s="43">
        <f t="shared" si="1"/>
        <v>5290</v>
      </c>
      <c r="K10" s="41">
        <f>(F10)*J10*assumptions!$A$3</f>
        <v>29.378203962915837</v>
      </c>
      <c r="L10" s="66">
        <v>98</v>
      </c>
      <c r="M10" s="40">
        <v>98</v>
      </c>
      <c r="N10" s="43">
        <f>(F10)*J10*assumptions!$A$3*('Sorted by Region'!M10/100)</f>
        <v>28.790639883657519</v>
      </c>
      <c r="O10" s="43">
        <f>(F10)*J10*(assumptions!$A$3)*((100-'Sorted by Region'!M10)/100)</f>
        <v>0.58756407925831677</v>
      </c>
      <c r="P10" s="43"/>
      <c r="S10" s="72" t="s">
        <v>434</v>
      </c>
      <c r="T10" s="62">
        <f>N$106*(1-assumptions!E$16)*assumptions!E$6</f>
        <v>2555.8382889172517</v>
      </c>
      <c r="U10" s="62">
        <f>N$106*assumptions!E$16*assumptions!E$6*(1-assumptions!F$6)</f>
        <v>1722.3970136911798</v>
      </c>
      <c r="V10" s="59"/>
      <c r="W10" s="59">
        <f>SUM(T10,U10,V7)</f>
        <v>11658.802461909301</v>
      </c>
      <c r="Z10" s="5" t="s">
        <v>2</v>
      </c>
      <c r="AA10" s="31">
        <f>SUM(AA3,AA4,AA5,AA6,AA7,AA8)</f>
        <v>564531.15897199069</v>
      </c>
      <c r="AB10" s="31">
        <f>SUM(AB3,AB4,AB5,AB6,AB7,AB8)</f>
        <v>142921.2141950072</v>
      </c>
      <c r="AC10" s="13">
        <f t="shared" si="2"/>
        <v>707452.37316699792</v>
      </c>
      <c r="AD10" s="31">
        <f>SUM(AD3,AD4,AD5,AD6,AD7,AD8)</f>
        <v>186547.50900738142</v>
      </c>
      <c r="AE10" s="59">
        <f>SUM(AE3,AE4,AE5,AE6,AE7,AE8)</f>
        <v>385815.31804438686</v>
      </c>
    </row>
    <row r="11" spans="1:31" ht="12.95" customHeight="1" x14ac:dyDescent="0.2">
      <c r="A11" s="1" t="s">
        <v>219</v>
      </c>
      <c r="B11" s="1" t="s">
        <v>87</v>
      </c>
      <c r="C11" s="8" t="s">
        <v>88</v>
      </c>
      <c r="D11" s="10">
        <v>1.1024908125765618E-2</v>
      </c>
      <c r="E11" s="10"/>
      <c r="F11" s="10">
        <v>1.1024908125765618E-2</v>
      </c>
      <c r="G11" s="12">
        <v>182044</v>
      </c>
      <c r="H11" s="12">
        <v>3980</v>
      </c>
      <c r="I11" s="13">
        <f t="shared" si="0"/>
        <v>186024</v>
      </c>
      <c r="J11" s="43">
        <f t="shared" si="1"/>
        <v>186820</v>
      </c>
      <c r="K11" s="41">
        <f>(F11)*J11*assumptions!$A$3</f>
        <v>1338.7876684360963</v>
      </c>
      <c r="L11" s="66">
        <v>70</v>
      </c>
      <c r="M11" s="40">
        <v>70</v>
      </c>
      <c r="N11" s="43">
        <f>(F11)*J11*assumptions!$A$3*('Sorted by Region'!M11/100)</f>
        <v>937.15136790526731</v>
      </c>
      <c r="O11" s="43">
        <f>(F11)*J11*(assumptions!$A$3)*((100-'Sorted by Region'!M11)/100)</f>
        <v>401.63630053082886</v>
      </c>
      <c r="P11" s="43"/>
      <c r="R11" s="5" t="s">
        <v>198</v>
      </c>
      <c r="S11" s="5" t="s">
        <v>208</v>
      </c>
      <c r="T11" s="43">
        <f>N$160*(1-assumptions!B$17)*assumptions!E$6</f>
        <v>5469.9615597148731</v>
      </c>
      <c r="U11" s="43">
        <f>N$160*assumptions!B$17*assumptions!E$6*(1-assumptions!F$6)</f>
        <v>864.67469270877439</v>
      </c>
      <c r="V11" s="13">
        <f>O$160*assumptions!E$6</f>
        <v>293.04319477477554</v>
      </c>
      <c r="W11" s="13">
        <f>SUM(T11,U11,V11)</f>
        <v>6627.6794471984231</v>
      </c>
      <c r="X11" s="13"/>
    </row>
    <row r="12" spans="1:31" ht="12.95" customHeight="1" x14ac:dyDescent="0.2">
      <c r="A12" s="1" t="s">
        <v>219</v>
      </c>
      <c r="B12" s="1" t="s">
        <v>8</v>
      </c>
      <c r="C12" s="8" t="s">
        <v>9</v>
      </c>
      <c r="D12" s="10"/>
      <c r="E12" s="10">
        <v>1.1175282903695356E-2</v>
      </c>
      <c r="F12" s="10">
        <v>1.1175282903695356E-2</v>
      </c>
      <c r="G12" s="12">
        <v>598650</v>
      </c>
      <c r="H12" s="12">
        <v>14800</v>
      </c>
      <c r="I12" s="13">
        <f t="shared" si="0"/>
        <v>613450</v>
      </c>
      <c r="J12" s="43">
        <f t="shared" si="1"/>
        <v>616410</v>
      </c>
      <c r="K12" s="41">
        <f>(F12)*J12*assumptions!$A$3</f>
        <v>4477.5614875334559</v>
      </c>
      <c r="L12" s="66">
        <v>92</v>
      </c>
      <c r="M12" s="36">
        <v>92</v>
      </c>
      <c r="N12" s="43">
        <f>(F12)*J12*assumptions!$A$3*('Sorted by Region'!M12/100)</f>
        <v>4119.3565685307794</v>
      </c>
      <c r="O12" s="43">
        <f>(F12)*J12*(assumptions!$A$3)*((100-'Sorted by Region'!M12)/100)</f>
        <v>358.20491900267649</v>
      </c>
      <c r="P12" s="43"/>
      <c r="S12" s="5" t="s">
        <v>209</v>
      </c>
      <c r="T12" s="43">
        <f>N$160*(1-assumptions!C$17)*assumptions!E$6</f>
        <v>3281.9769358289241</v>
      </c>
      <c r="U12" s="43">
        <f>N$160*assumptions!C$17*assumptions!E$6*(1-assumptions!F$6)</f>
        <v>1210.5445697922839</v>
      </c>
      <c r="V12" s="29"/>
      <c r="W12" s="13">
        <f>SUM(T12,U12,V11)</f>
        <v>4785.5647003959839</v>
      </c>
    </row>
    <row r="13" spans="1:31" ht="12.95" customHeight="1" x14ac:dyDescent="0.2">
      <c r="A13" s="1" t="s">
        <v>219</v>
      </c>
      <c r="B13" s="1" t="s">
        <v>334</v>
      </c>
      <c r="C13" s="8" t="s">
        <v>335</v>
      </c>
      <c r="D13" s="10">
        <v>1.2625324916450055E-2</v>
      </c>
      <c r="E13" s="10">
        <v>1.0965935604293047E-2</v>
      </c>
      <c r="F13" s="10">
        <v>1.2625324916450055E-2</v>
      </c>
      <c r="G13" s="12">
        <v>212751</v>
      </c>
      <c r="H13" s="12">
        <v>5510</v>
      </c>
      <c r="I13" s="13">
        <f t="shared" si="0"/>
        <v>218261</v>
      </c>
      <c r="J13" s="43">
        <f t="shared" si="1"/>
        <v>219363</v>
      </c>
      <c r="K13" s="41">
        <f>(F13)*J13*assumptions!$A$3</f>
        <v>1800.1939472707018</v>
      </c>
      <c r="L13" s="66">
        <v>84</v>
      </c>
      <c r="M13" s="36">
        <v>84</v>
      </c>
      <c r="N13" s="43">
        <f>(F13)*J13*assumptions!$A$3*('Sorted by Region'!M13/100)</f>
        <v>1512.1629157073894</v>
      </c>
      <c r="O13" s="43">
        <f>(F13)*J13*(assumptions!$A$3)*((100-'Sorted by Region'!M13)/100)</f>
        <v>288.0310315633123</v>
      </c>
      <c r="P13" s="43"/>
      <c r="S13" s="5" t="s">
        <v>210</v>
      </c>
      <c r="T13" s="43">
        <f>N$160*(1-assumptions!D$17)*assumptions!E$6</f>
        <v>1093.9923119429745</v>
      </c>
      <c r="U13" s="43">
        <f>N$160*assumptions!D$17*assumptions!E$6*(1-assumptions!F$6)</f>
        <v>1556.4144468757938</v>
      </c>
      <c r="V13" s="29"/>
      <c r="W13" s="13">
        <f>SUM(T13,U13,V11)</f>
        <v>2943.4499535935438</v>
      </c>
    </row>
    <row r="14" spans="1:31" ht="12.95" customHeight="1" x14ac:dyDescent="0.2">
      <c r="A14" s="1" t="s">
        <v>219</v>
      </c>
      <c r="B14" s="1" t="s">
        <v>6</v>
      </c>
      <c r="C14" s="8" t="s">
        <v>7</v>
      </c>
      <c r="D14" s="10">
        <v>1.4106583072100314E-2</v>
      </c>
      <c r="E14" s="10"/>
      <c r="F14" s="10">
        <v>1.4106583072100314E-2</v>
      </c>
      <c r="G14" s="12">
        <v>59347</v>
      </c>
      <c r="H14" s="12">
        <v>1570</v>
      </c>
      <c r="I14" s="13">
        <f t="shared" si="0"/>
        <v>60917</v>
      </c>
      <c r="J14" s="43">
        <f t="shared" si="1"/>
        <v>61231</v>
      </c>
      <c r="K14" s="41">
        <f>(F14)*J14*assumptions!$A$3</f>
        <v>561.44412225705332</v>
      </c>
      <c r="L14" s="66">
        <v>90</v>
      </c>
      <c r="M14" s="36">
        <v>90</v>
      </c>
      <c r="N14" s="43">
        <f>(F14)*J14*assumptions!$A$3*('Sorted by Region'!M14/100)</f>
        <v>505.29971003134801</v>
      </c>
      <c r="O14" s="43">
        <f>(F14)*J14*(assumptions!$A$3)*((100-'Sorted by Region'!M14)/100)</f>
        <v>56.144412225705338</v>
      </c>
      <c r="P14" s="43"/>
      <c r="S14" s="72" t="s">
        <v>434</v>
      </c>
      <c r="T14" s="62">
        <f>N$160*(1-assumptions!E$17)*assumptions!E$6</f>
        <v>1093.9923119429745</v>
      </c>
      <c r="U14" s="62">
        <f>N$160*assumptions!E$17*assumptions!E$6*(1-assumptions!F$6)</f>
        <v>1556.4144468757938</v>
      </c>
      <c r="V14" s="59"/>
      <c r="W14" s="59">
        <f>SUM(T14,U14,V11)</f>
        <v>2943.4499535935438</v>
      </c>
    </row>
    <row r="15" spans="1:31" ht="12.95" customHeight="1" x14ac:dyDescent="0.2">
      <c r="A15" s="1" t="s">
        <v>219</v>
      </c>
      <c r="B15" s="1" t="s">
        <v>326</v>
      </c>
      <c r="C15" s="8" t="s">
        <v>327</v>
      </c>
      <c r="D15" s="10">
        <v>1.4553014553014554E-2</v>
      </c>
      <c r="E15" s="10">
        <v>1.3724864347270986E-2</v>
      </c>
      <c r="F15" s="10">
        <v>1.4553014553014554E-2</v>
      </c>
      <c r="G15" s="12">
        <v>277516</v>
      </c>
      <c r="H15" s="12">
        <v>7890</v>
      </c>
      <c r="I15" s="13">
        <f t="shared" si="0"/>
        <v>285406</v>
      </c>
      <c r="J15" s="43">
        <f t="shared" si="1"/>
        <v>286984</v>
      </c>
      <c r="K15" s="41">
        <f>(F15)*J15*assumptions!$A$3</f>
        <v>2714.7135135135136</v>
      </c>
      <c r="L15" s="66">
        <v>92</v>
      </c>
      <c r="M15" s="40">
        <v>92</v>
      </c>
      <c r="N15" s="43">
        <f>(F15)*J15*assumptions!$A$3*('Sorted by Region'!M15/100)</f>
        <v>2497.5364324324328</v>
      </c>
      <c r="O15" s="43">
        <f>(F15)*J15*(assumptions!$A$3)*((100-'Sorted by Region'!M15)/100)</f>
        <v>217.1770810810811</v>
      </c>
      <c r="P15" s="43"/>
      <c r="R15" s="5" t="s">
        <v>207</v>
      </c>
      <c r="S15" s="5" t="s">
        <v>208</v>
      </c>
      <c r="T15" s="43">
        <f>N$84*(1-assumptions!B$18)*assumptions!E$6</f>
        <v>31259.951522091545</v>
      </c>
      <c r="U15" s="43">
        <f>N$84*assumptions!B$18*assumptions!E$6*(1-assumptions!F$6)</f>
        <v>3294.3179680973408</v>
      </c>
      <c r="V15" s="13">
        <f>O$84*assumptions!E$6</f>
        <v>3280.0082484906752</v>
      </c>
      <c r="W15" s="13">
        <f>SUM(T15,U15,V15)</f>
        <v>37834.277738679564</v>
      </c>
      <c r="X15" s="13"/>
    </row>
    <row r="16" spans="1:31" ht="12.95" customHeight="1" x14ac:dyDescent="0.2">
      <c r="A16" s="1" t="s">
        <v>219</v>
      </c>
      <c r="B16" s="1" t="s">
        <v>316</v>
      </c>
      <c r="C16" s="8" t="s">
        <v>317</v>
      </c>
      <c r="D16" s="10">
        <v>1.4642436919858805E-2</v>
      </c>
      <c r="E16" s="10">
        <v>1.5153565146800163E-2</v>
      </c>
      <c r="F16" s="10">
        <v>1.4642436919858805E-2</v>
      </c>
      <c r="G16" s="12">
        <v>392171</v>
      </c>
      <c r="H16" s="12">
        <v>9580</v>
      </c>
      <c r="I16" s="13">
        <f t="shared" si="0"/>
        <v>401751</v>
      </c>
      <c r="J16" s="43">
        <f t="shared" si="1"/>
        <v>403667</v>
      </c>
      <c r="K16" s="41">
        <f>(F16)*J16*assumptions!$A$3</f>
        <v>3841.9345796836192</v>
      </c>
      <c r="L16" s="66">
        <v>88</v>
      </c>
      <c r="M16" s="40">
        <v>88</v>
      </c>
      <c r="N16" s="43">
        <f>(F16)*J16*assumptions!$A$3*('Sorted by Region'!M16/100)</f>
        <v>3380.902430121585</v>
      </c>
      <c r="O16" s="43">
        <f>(F16)*J16*(assumptions!$A$3)*((100-'Sorted by Region'!M16)/100)</f>
        <v>461.03214956203431</v>
      </c>
      <c r="P16" s="43"/>
      <c r="S16" s="5" t="s">
        <v>209</v>
      </c>
      <c r="T16" s="43">
        <f>N$84*(1-assumptions!C$18)*assumptions!E$6</f>
        <v>20839.967681394366</v>
      </c>
      <c r="U16" s="43">
        <f>N$84*assumptions!C$18*assumptions!E$6*(1-assumptions!F$6)</f>
        <v>4941.4769521460112</v>
      </c>
      <c r="V16" s="29"/>
      <c r="W16" s="13">
        <f>SUM(T16,U16,V15)</f>
        <v>29061.452882031052</v>
      </c>
    </row>
    <row r="17" spans="1:31" ht="12.95" customHeight="1" x14ac:dyDescent="0.2">
      <c r="A17" s="1" t="s">
        <v>219</v>
      </c>
      <c r="B17" s="1" t="s">
        <v>281</v>
      </c>
      <c r="C17" s="8" t="s">
        <v>282</v>
      </c>
      <c r="D17" s="10">
        <v>1.5005417118093174E-2</v>
      </c>
      <c r="E17" s="10">
        <v>1.5005417118093174E-2</v>
      </c>
      <c r="F17" s="10">
        <v>1.5005417118093174E-2</v>
      </c>
      <c r="G17" s="12">
        <v>6027913</v>
      </c>
      <c r="H17" s="12">
        <v>263800</v>
      </c>
      <c r="I17" s="13">
        <f t="shared" si="0"/>
        <v>6291713</v>
      </c>
      <c r="J17" s="43">
        <f t="shared" si="1"/>
        <v>6344473</v>
      </c>
      <c r="K17" s="41">
        <f>(F17)*J17*assumptions!$A$3</f>
        <v>61880.951443661972</v>
      </c>
      <c r="L17" s="66">
        <v>58</v>
      </c>
      <c r="M17" s="40">
        <v>58</v>
      </c>
      <c r="N17" s="43">
        <f>(F17)*J17*assumptions!$A$3*('Sorted by Region'!M17/100)</f>
        <v>35890.951837323941</v>
      </c>
      <c r="O17" s="43">
        <f>(F17)*J17*(assumptions!$A$3)*((100-'Sorted by Region'!M17)/100)</f>
        <v>25989.999606338028</v>
      </c>
      <c r="P17" s="43"/>
      <c r="S17" s="5" t="s">
        <v>210</v>
      </c>
      <c r="T17" s="43">
        <f>N$84*(1-assumptions!D$18)*assumptions!E$6</f>
        <v>10419.983840697179</v>
      </c>
      <c r="U17" s="43">
        <f>N$84*assumptions!D$18*assumptions!E$6*(1-assumptions!F$6)</f>
        <v>6588.6359361946816</v>
      </c>
      <c r="V17" s="29"/>
      <c r="W17" s="13">
        <f>SUM(T17,U17,V15)</f>
        <v>20288.628025382535</v>
      </c>
      <c r="Y17" s="5" t="s">
        <v>216</v>
      </c>
      <c r="Z17" s="5" t="s">
        <v>195</v>
      </c>
      <c r="AA17" s="13">
        <f>N$48*assumptions!E$7</f>
        <v>87422.112704171916</v>
      </c>
      <c r="AB17" s="13">
        <f>O$48*assumptions!E$7</f>
        <v>24970.617583066753</v>
      </c>
      <c r="AC17" s="13">
        <f>SUM(AA17,AB17)</f>
        <v>112392.73028723866</v>
      </c>
      <c r="AD17" s="13">
        <f>AC17-W34</f>
        <v>21505.839725226295</v>
      </c>
      <c r="AE17" s="59">
        <f>AC17-W36</f>
        <v>58065.76725811098</v>
      </c>
    </row>
    <row r="18" spans="1:31" ht="12.95" customHeight="1" x14ac:dyDescent="0.2">
      <c r="A18" s="1" t="s">
        <v>219</v>
      </c>
      <c r="B18" s="1" t="s">
        <v>380</v>
      </c>
      <c r="C18" s="8" t="s">
        <v>381</v>
      </c>
      <c r="D18" s="10">
        <v>1.5707060668300979E-2</v>
      </c>
      <c r="E18" s="10">
        <v>1.5681821081777698E-2</v>
      </c>
      <c r="F18" s="10">
        <v>1.5707060668300979E-2</v>
      </c>
      <c r="G18" s="12">
        <v>403007</v>
      </c>
      <c r="H18" s="12">
        <v>9350</v>
      </c>
      <c r="I18" s="13">
        <f t="shared" si="0"/>
        <v>412357</v>
      </c>
      <c r="J18" s="43">
        <f t="shared" si="1"/>
        <v>414227</v>
      </c>
      <c r="K18" s="41">
        <f>(F18)*J18*assumptions!$A$3</f>
        <v>4229.0876026414016</v>
      </c>
      <c r="L18" s="66">
        <v>96</v>
      </c>
      <c r="M18" s="40">
        <v>96</v>
      </c>
      <c r="N18" s="43">
        <f>(F18)*J18*assumptions!$A$3*('Sorted by Region'!M18/100)</f>
        <v>4059.9240985357455</v>
      </c>
      <c r="O18" s="43">
        <f>(F18)*J18*(assumptions!$A$3)*((100-'Sorted by Region'!M18)/100)</f>
        <v>169.16350410565607</v>
      </c>
      <c r="P18" s="43"/>
      <c r="S18" s="72" t="s">
        <v>434</v>
      </c>
      <c r="T18" s="62">
        <f>N$84*(1-assumptions!E$18)*assumptions!E$6</f>
        <v>9898.984648662321</v>
      </c>
      <c r="U18" s="62">
        <f>N$84*assumptions!E$18*assumptions!E$6*(1-assumptions!F$6)</f>
        <v>6670.9938853971162</v>
      </c>
      <c r="V18" s="59"/>
      <c r="W18" s="59">
        <f>SUM(T18,U18,V15)</f>
        <v>19849.986782550113</v>
      </c>
      <c r="Z18" s="5" t="s">
        <v>197</v>
      </c>
      <c r="AA18" s="13">
        <f>N$106*assumptions!E$7</f>
        <v>5432.4498043787753</v>
      </c>
      <c r="AB18" s="13">
        <f>O$106*assumptions!E$7</f>
        <v>2980.6136604868902</v>
      </c>
      <c r="AC18" s="13">
        <f t="shared" ref="AC18:AC24" si="3">SUM(AA18,AB18)</f>
        <v>8413.0634648656651</v>
      </c>
      <c r="AD18" s="13">
        <f>AC18-W38</f>
        <v>1336.3826518771784</v>
      </c>
      <c r="AE18" s="59">
        <f>AC18-W40</f>
        <v>3608.2331600683819</v>
      </c>
    </row>
    <row r="19" spans="1:31" ht="12.95" customHeight="1" x14ac:dyDescent="0.2">
      <c r="A19" s="1" t="s">
        <v>219</v>
      </c>
      <c r="B19" s="1" t="s">
        <v>396</v>
      </c>
      <c r="C19" s="8" t="s">
        <v>397</v>
      </c>
      <c r="D19" s="10">
        <v>1.8820577164366373E-2</v>
      </c>
      <c r="E19" s="10"/>
      <c r="F19" s="10">
        <v>1.8820577164366373E-2</v>
      </c>
      <c r="G19" s="12">
        <v>1506302</v>
      </c>
      <c r="H19" s="12">
        <v>33660</v>
      </c>
      <c r="I19" s="13">
        <f t="shared" si="0"/>
        <v>1539962</v>
      </c>
      <c r="J19" s="43">
        <f t="shared" si="1"/>
        <v>1546694</v>
      </c>
      <c r="K19" s="41">
        <f>(F19)*J19*assumptions!$A$3</f>
        <v>18921.287954830615</v>
      </c>
      <c r="L19" s="66">
        <v>92</v>
      </c>
      <c r="M19" s="40">
        <v>92</v>
      </c>
      <c r="N19" s="43">
        <f>(F19)*J19*assumptions!$A$3*('Sorted by Region'!M19/100)</f>
        <v>17407.584918444169</v>
      </c>
      <c r="O19" s="43">
        <f>(F19)*J19*(assumptions!$A$3)*((100-'Sorted by Region'!M19)/100)</f>
        <v>1513.7030363864492</v>
      </c>
      <c r="P19" s="43"/>
      <c r="R19" s="5" t="s">
        <v>199</v>
      </c>
      <c r="S19" s="5" t="s">
        <v>208</v>
      </c>
      <c r="T19" s="43">
        <f>N$172*(1-assumptions!B$19)*assumptions!E$6</f>
        <v>197047.63701518421</v>
      </c>
      <c r="U19" s="43">
        <f>N$172*assumptions!B$19*assumptions!E$6*(1-assumptions!F$6)</f>
        <v>7787.171039734686</v>
      </c>
      <c r="V19" s="30">
        <f>O$172*assumptions!E$6</f>
        <v>67402.944963533213</v>
      </c>
      <c r="W19" s="13">
        <f>SUM(T19,U19,V19)</f>
        <v>272237.75301845209</v>
      </c>
      <c r="X19" s="13"/>
      <c r="Z19" s="5" t="s">
        <v>198</v>
      </c>
      <c r="AA19" s="13">
        <f>N$160*assumptions!E$7</f>
        <v>4418.0458751543201</v>
      </c>
      <c r="AB19" s="13">
        <f>O$160*assumptions!E$7</f>
        <v>118.34436712058242</v>
      </c>
      <c r="AC19" s="13">
        <f t="shared" si="3"/>
        <v>4536.3902422749024</v>
      </c>
      <c r="AD19" s="13">
        <f>AC19-W42</f>
        <v>2535.9583323385796</v>
      </c>
      <c r="AE19" s="59">
        <f>AC19-W44</f>
        <v>3260.5178558638881</v>
      </c>
    </row>
    <row r="20" spans="1:31" ht="12.95" customHeight="1" x14ac:dyDescent="0.2">
      <c r="A20" s="1" t="s">
        <v>219</v>
      </c>
      <c r="B20" s="1" t="s">
        <v>83</v>
      </c>
      <c r="C20" s="8" t="s">
        <v>84</v>
      </c>
      <c r="D20" s="10">
        <v>1.9821757836508913E-2</v>
      </c>
      <c r="E20" s="10">
        <v>1.9817889662560258E-2</v>
      </c>
      <c r="F20" s="10">
        <v>1.9821757836508913E-2</v>
      </c>
      <c r="G20" s="12">
        <v>2886065</v>
      </c>
      <c r="H20" s="12">
        <v>96390</v>
      </c>
      <c r="I20" s="13">
        <f t="shared" si="0"/>
        <v>2982455</v>
      </c>
      <c r="J20" s="43">
        <f t="shared" si="1"/>
        <v>3001733</v>
      </c>
      <c r="K20" s="41">
        <f>(F20)*J20*assumptions!$A$3</f>
        <v>38674.756000307316</v>
      </c>
      <c r="L20" s="66">
        <v>85</v>
      </c>
      <c r="M20" s="40">
        <v>85</v>
      </c>
      <c r="N20" s="43">
        <f>(F20)*J20*assumptions!$A$3*('Sorted by Region'!M20/100)</f>
        <v>32873.542600261215</v>
      </c>
      <c r="O20" s="43">
        <f>(F20)*J20*(assumptions!$A$3)*((100-'Sorted by Region'!M20)/100)</f>
        <v>5801.2134000460974</v>
      </c>
      <c r="P20" s="43"/>
      <c r="S20" s="5" t="s">
        <v>209</v>
      </c>
      <c r="T20" s="43">
        <f>N$172*(1-assumptions!C$19)*assumptions!E$6</f>
        <v>147785.72776138815</v>
      </c>
      <c r="U20" s="43">
        <f>N$172*assumptions!C$19*assumptions!E$6*(1-assumptions!F$6)</f>
        <v>15574.342079469372</v>
      </c>
      <c r="V20" s="29"/>
      <c r="W20" s="13">
        <f>SUM(T20,U20,V19)</f>
        <v>230763.01480439072</v>
      </c>
      <c r="Z20" s="5" t="s">
        <v>207</v>
      </c>
      <c r="AA20" s="13">
        <f>N$84*assumptions!E$7</f>
        <v>21040.351986023154</v>
      </c>
      <c r="AB20" s="13">
        <f>O$84*assumptions!E$7</f>
        <v>1324.6187157366187</v>
      </c>
      <c r="AC20" s="13">
        <f t="shared" si="3"/>
        <v>22364.970701759772</v>
      </c>
      <c r="AD20" s="13">
        <f>AC20-W46</f>
        <v>10351.85317712339</v>
      </c>
      <c r="AE20" s="59">
        <f>AC20-W48</f>
        <v>13975.001789116577</v>
      </c>
    </row>
    <row r="21" spans="1:31" ht="12.95" customHeight="1" x14ac:dyDescent="0.2">
      <c r="A21" s="1" t="s">
        <v>219</v>
      </c>
      <c r="B21" s="1" t="s">
        <v>62</v>
      </c>
      <c r="C21" s="8" t="s">
        <v>63</v>
      </c>
      <c r="D21" s="10">
        <v>2.2708333333333334E-2</v>
      </c>
      <c r="E21" s="10"/>
      <c r="F21" s="10">
        <v>2.2708333333333334E-2</v>
      </c>
      <c r="G21" s="12">
        <v>21448</v>
      </c>
      <c r="H21" s="12">
        <v>600</v>
      </c>
      <c r="I21" s="13">
        <f t="shared" si="0"/>
        <v>22048</v>
      </c>
      <c r="J21" s="43">
        <f t="shared" si="1"/>
        <v>22168</v>
      </c>
      <c r="K21" s="41">
        <f>(F21)*J21*assumptions!$A$3</f>
        <v>327.20891666666671</v>
      </c>
      <c r="L21" s="66">
        <v>75</v>
      </c>
      <c r="M21" s="40">
        <v>75</v>
      </c>
      <c r="N21" s="43">
        <f>(F21)*J21*assumptions!$A$3*('Sorted by Region'!M21/100)</f>
        <v>245.40668750000003</v>
      </c>
      <c r="O21" s="43">
        <f>(F21)*J21*(assumptions!$A$3)*((100-'Sorted by Region'!M21)/100)</f>
        <v>81.802229166666677</v>
      </c>
      <c r="P21" s="43"/>
      <c r="S21" s="5" t="s">
        <v>210</v>
      </c>
      <c r="T21" s="43">
        <f>N$172*(1-assumptions!D$19)*assumptions!E$6</f>
        <v>98523.818507592106</v>
      </c>
      <c r="U21" s="43">
        <f>N$172*assumptions!D$19*assumptions!E$6*(1-assumptions!F$6)</f>
        <v>23361.513119204054</v>
      </c>
      <c r="V21" s="29"/>
      <c r="W21" s="13">
        <f>SUM(T21,U21,V19)</f>
        <v>189288.27659032936</v>
      </c>
      <c r="Z21" s="5" t="s">
        <v>199</v>
      </c>
      <c r="AA21" s="13">
        <f>N$172*assumptions!E$7</f>
        <v>99471.16291631895</v>
      </c>
      <c r="AB21" s="13">
        <f>O$172*assumptions!E$7</f>
        <v>27220.420081426873</v>
      </c>
      <c r="AC21" s="13">
        <f t="shared" si="3"/>
        <v>126691.58299774582</v>
      </c>
      <c r="AD21" s="13">
        <f>AC21-W50</f>
        <v>32626.541436552623</v>
      </c>
      <c r="AE21" s="59">
        <f>AC21-W52</f>
        <v>66068.746409019048</v>
      </c>
    </row>
    <row r="22" spans="1:31" ht="12.95" customHeight="1" x14ac:dyDescent="0.2">
      <c r="A22" s="1" t="s">
        <v>219</v>
      </c>
      <c r="B22" s="1" t="s">
        <v>60</v>
      </c>
      <c r="C22" s="8" t="s">
        <v>61</v>
      </c>
      <c r="D22" s="10">
        <v>2.3740108288213244E-2</v>
      </c>
      <c r="E22" s="10">
        <v>2.1335689938139123E-2</v>
      </c>
      <c r="F22" s="10">
        <v>2.3740108288213244E-2</v>
      </c>
      <c r="G22" s="12">
        <v>720788</v>
      </c>
      <c r="H22" s="12">
        <v>19440</v>
      </c>
      <c r="I22" s="13">
        <f t="shared" si="0"/>
        <v>740228</v>
      </c>
      <c r="J22" s="43">
        <f t="shared" si="1"/>
        <v>744116</v>
      </c>
      <c r="K22" s="41">
        <f>(F22)*J22*assumptions!$A$3</f>
        <v>11482.506372344857</v>
      </c>
      <c r="L22" s="66">
        <v>85</v>
      </c>
      <c r="M22" s="40">
        <v>85</v>
      </c>
      <c r="N22" s="43">
        <f>(F22)*J22*assumptions!$A$3*('Sorted by Region'!M22/100)</f>
        <v>9760.130416493128</v>
      </c>
      <c r="O22" s="43">
        <f>(F22)*J22*(assumptions!$A$3)*((100-'Sorted by Region'!M22)/100)</f>
        <v>1722.3759558517283</v>
      </c>
      <c r="P22" s="43"/>
      <c r="S22" s="72" t="s">
        <v>434</v>
      </c>
      <c r="T22" s="62">
        <f>N$172*(1-assumptions!E$19)*assumptions!E$6</f>
        <v>46798.813791106237</v>
      </c>
      <c r="U22" s="62">
        <f>N$172*assumptions!E$19*assumptions!E$6*(1-assumptions!F$6)</f>
        <v>31538.042710925478</v>
      </c>
      <c r="V22" s="59"/>
      <c r="W22" s="59">
        <f>SUM(T22,U22,V19)</f>
        <v>145739.80146556493</v>
      </c>
      <c r="Z22" s="5" t="s">
        <v>200</v>
      </c>
      <c r="AA22" s="13">
        <f>N$200*assumptions!E$7</f>
        <v>10199.613991102939</v>
      </c>
      <c r="AB22" s="13">
        <f>O$200*assumptions!E$7</f>
        <v>1103.5682478382785</v>
      </c>
      <c r="AC22" s="13">
        <f t="shared" si="3"/>
        <v>11303.182238941217</v>
      </c>
      <c r="AD22" s="13">
        <f>AC22-W54</f>
        <v>5018.2100836226455</v>
      </c>
      <c r="AE22" s="59">
        <f>AC22-W56</f>
        <v>6774.5836128905721</v>
      </c>
    </row>
    <row r="23" spans="1:31" ht="12.95" customHeight="1" x14ac:dyDescent="0.2">
      <c r="A23" s="1" t="s">
        <v>219</v>
      </c>
      <c r="B23" s="1" t="s">
        <v>293</v>
      </c>
      <c r="C23" s="8" t="s">
        <v>305</v>
      </c>
      <c r="D23" s="10">
        <v>2.4013722126929673E-2</v>
      </c>
      <c r="E23" s="10">
        <v>9.4014415543716701E-3</v>
      </c>
      <c r="F23" s="10">
        <v>2.4013722126929673E-2</v>
      </c>
      <c r="G23" s="12">
        <v>39545</v>
      </c>
      <c r="H23" s="12">
        <v>700</v>
      </c>
      <c r="I23" s="13">
        <f t="shared" si="0"/>
        <v>40245</v>
      </c>
      <c r="J23" s="43">
        <f t="shared" si="1"/>
        <v>40385</v>
      </c>
      <c r="K23" s="41">
        <f>(F23)*J23*assumptions!$A$3</f>
        <v>630.36620926243563</v>
      </c>
      <c r="L23" s="66">
        <v>94</v>
      </c>
      <c r="M23" s="40">
        <v>94</v>
      </c>
      <c r="N23" s="43">
        <f>(F23)*J23*assumptions!$A$3*('Sorted by Region'!M23/100)</f>
        <v>592.5442367066895</v>
      </c>
      <c r="O23" s="43">
        <f>(F23)*J23*(assumptions!$A$3)*((100-'Sorted by Region'!M23)/100)</f>
        <v>37.821972555746136</v>
      </c>
      <c r="P23" s="43"/>
      <c r="R23" s="67" t="s">
        <v>200</v>
      </c>
      <c r="S23" s="67" t="s">
        <v>208</v>
      </c>
      <c r="T23" s="51">
        <f>N$200*(1-assumptions!B$20)*assumptions!E$6</f>
        <v>15153.712215352938</v>
      </c>
      <c r="U23" s="51">
        <f>N$200*assumptions!B$20*assumptions!E$6*(1-assumptions!F$6)</f>
        <v>1596.968133464118</v>
      </c>
      <c r="V23" s="20">
        <f>O$200*assumptions!E$6</f>
        <v>2732.6451851233564</v>
      </c>
      <c r="W23" s="20">
        <f>SUM(T23,U23,V23)</f>
        <v>19483.325533940413</v>
      </c>
      <c r="X23" s="13"/>
    </row>
    <row r="24" spans="1:31" ht="12.95" customHeight="1" x14ac:dyDescent="0.2">
      <c r="A24" s="1" t="s">
        <v>219</v>
      </c>
      <c r="B24" s="1" t="s">
        <v>58</v>
      </c>
      <c r="C24" s="8" t="s">
        <v>59</v>
      </c>
      <c r="D24" s="10">
        <v>2.4636765634870498E-2</v>
      </c>
      <c r="E24" s="10">
        <v>1.3059963488274118E-2</v>
      </c>
      <c r="F24" s="10">
        <v>2.4636765634870498E-2</v>
      </c>
      <c r="G24" s="12">
        <v>47217</v>
      </c>
      <c r="H24" s="12">
        <v>750</v>
      </c>
      <c r="I24" s="13">
        <f t="shared" si="0"/>
        <v>47967</v>
      </c>
      <c r="J24" s="43">
        <f t="shared" si="1"/>
        <v>48117</v>
      </c>
      <c r="K24" s="41">
        <f>(F24)*J24*assumptions!$A$3</f>
        <v>770.5407138344915</v>
      </c>
      <c r="L24" s="66">
        <v>97</v>
      </c>
      <c r="M24" s="40">
        <v>97</v>
      </c>
      <c r="N24" s="43">
        <f>(F24)*J24*assumptions!$A$3*('Sorted by Region'!M24/100)</f>
        <v>747.42449241945678</v>
      </c>
      <c r="O24" s="43">
        <f>(F24)*J24*(assumptions!$A$3)*((100-'Sorted by Region'!M24)/100)</f>
        <v>23.116221415034744</v>
      </c>
      <c r="P24" s="43"/>
      <c r="R24" s="67"/>
      <c r="S24" s="67" t="s">
        <v>209</v>
      </c>
      <c r="T24" s="51">
        <f>N$200*(1-assumptions!C$20)*assumptions!E$6</f>
        <v>10102.474810235293</v>
      </c>
      <c r="U24" s="51">
        <f>N$200*assumptions!C$20*assumptions!E$6*(1-assumptions!F$6)</f>
        <v>2395.4522001961764</v>
      </c>
      <c r="V24" s="29"/>
      <c r="W24" s="20">
        <f>SUM(T24,U24,V23)</f>
        <v>15230.572195554825</v>
      </c>
      <c r="Z24" s="5" t="s">
        <v>2</v>
      </c>
      <c r="AA24" s="31">
        <f>SUM(AA17,AA18,AA19,AA20,AA21,AA22)</f>
        <v>227983.73727715004</v>
      </c>
      <c r="AB24" s="31">
        <f>SUM(AB17,AB18,AB19,AB20,AB21,AB22)</f>
        <v>57718.182655675999</v>
      </c>
      <c r="AC24" s="13">
        <f t="shared" si="3"/>
        <v>285701.91993282601</v>
      </c>
      <c r="AD24" s="31">
        <f>SUM(AD17,AD18,AD19,AD20,AD21,AD22)</f>
        <v>73374.785406740717</v>
      </c>
      <c r="AE24" s="59">
        <f>SUM(AE17,AE18,AE19,AE20,AE21,AE22)</f>
        <v>151752.85008506943</v>
      </c>
    </row>
    <row r="25" spans="1:31" ht="12.95" customHeight="1" x14ac:dyDescent="0.2">
      <c r="A25" s="1" t="s">
        <v>219</v>
      </c>
      <c r="B25" s="1" t="s">
        <v>283</v>
      </c>
      <c r="C25" s="8" t="s">
        <v>284</v>
      </c>
      <c r="D25" s="10"/>
      <c r="E25" s="10">
        <v>2.5600000000000001E-2</v>
      </c>
      <c r="F25" s="10">
        <v>2.5600000000000001E-2</v>
      </c>
      <c r="G25" s="12">
        <v>790598</v>
      </c>
      <c r="H25" s="12">
        <v>18640</v>
      </c>
      <c r="I25" s="13">
        <f t="shared" si="0"/>
        <v>809238</v>
      </c>
      <c r="J25" s="43">
        <f t="shared" si="1"/>
        <v>812966</v>
      </c>
      <c r="K25" s="41">
        <f>(F25)*J25*assumptions!$A$3</f>
        <v>13527.75424</v>
      </c>
      <c r="L25" s="66">
        <v>46</v>
      </c>
      <c r="M25" s="40">
        <v>46</v>
      </c>
      <c r="N25" s="43">
        <f>(F25)*J25*assumptions!$A$3*('Sorted by Region'!M25/100)</f>
        <v>6222.7669504000005</v>
      </c>
      <c r="O25" s="43">
        <f>(F25)*J25*(assumptions!$A$3)*((100-'Sorted by Region'!M25)/100)</f>
        <v>7304.9872896000006</v>
      </c>
      <c r="P25" s="43"/>
      <c r="R25" s="67"/>
      <c r="S25" s="67" t="s">
        <v>210</v>
      </c>
      <c r="T25" s="51">
        <f>N$200*(1-assumptions!D$20)*assumptions!E$6</f>
        <v>5051.2374051176448</v>
      </c>
      <c r="U25" s="51">
        <f>N$200*assumptions!D$20*assumptions!E$6*(1-assumptions!F$6)</f>
        <v>3193.9362669282359</v>
      </c>
      <c r="V25" s="29"/>
      <c r="W25" s="20">
        <f>SUM(T25,U25,V23)</f>
        <v>10977.818857169237</v>
      </c>
    </row>
    <row r="26" spans="1:31" ht="12.95" customHeight="1" x14ac:dyDescent="0.2">
      <c r="A26" s="1" t="s">
        <v>219</v>
      </c>
      <c r="B26" s="1" t="s">
        <v>386</v>
      </c>
      <c r="C26" s="8" t="s">
        <v>387</v>
      </c>
      <c r="D26" s="10">
        <v>2.6734001977680465E-2</v>
      </c>
      <c r="E26" s="10"/>
      <c r="F26" s="10">
        <v>2.6734001977680465E-2</v>
      </c>
      <c r="G26" s="12">
        <v>309390</v>
      </c>
      <c r="H26" s="12">
        <v>81940</v>
      </c>
      <c r="I26" s="13">
        <f t="shared" si="0"/>
        <v>391330</v>
      </c>
      <c r="J26" s="43">
        <f t="shared" si="1"/>
        <v>407718</v>
      </c>
      <c r="K26" s="41">
        <f>(F26)*J26*assumptions!$A$3</f>
        <v>7084.9569819183507</v>
      </c>
      <c r="L26" s="66">
        <v>28</v>
      </c>
      <c r="M26" s="40">
        <v>28</v>
      </c>
      <c r="N26" s="43">
        <f>(F26)*J26*assumptions!$A$3*('Sorted by Region'!M26/100)</f>
        <v>1983.7879549371385</v>
      </c>
      <c r="O26" s="43">
        <f>(F26)*J26*(assumptions!$A$3)*((100-'Sorted by Region'!M26)/100)</f>
        <v>5101.1690269812125</v>
      </c>
      <c r="P26" s="43"/>
      <c r="R26" s="67"/>
      <c r="S26" s="72" t="s">
        <v>434</v>
      </c>
      <c r="T26" s="62">
        <f>N$200*(1-assumptions!E$20)*assumptions!E$6</f>
        <v>4798.6755348617617</v>
      </c>
      <c r="U26" s="62">
        <f>N$200*assumptions!E$20*assumptions!E$6*(1-assumptions!F$6)</f>
        <v>3233.8604702648386</v>
      </c>
      <c r="V26" s="59"/>
      <c r="W26" s="59">
        <f>SUM(T26,U26,V23)</f>
        <v>10765.181190249956</v>
      </c>
    </row>
    <row r="27" spans="1:31" ht="12.95" customHeight="1" x14ac:dyDescent="0.2">
      <c r="A27" s="1" t="s">
        <v>219</v>
      </c>
      <c r="B27" s="1" t="s">
        <v>419</v>
      </c>
      <c r="C27" s="8" t="s">
        <v>420</v>
      </c>
      <c r="D27" s="10">
        <v>3.4022144369297638E-2</v>
      </c>
      <c r="E27" s="10">
        <v>2.3170108735313433E-2</v>
      </c>
      <c r="F27" s="10">
        <v>3.4022144369297638E-2</v>
      </c>
      <c r="G27" s="12">
        <v>58741</v>
      </c>
      <c r="H27" s="12">
        <v>900</v>
      </c>
      <c r="I27" s="13">
        <f t="shared" si="0"/>
        <v>59641</v>
      </c>
      <c r="J27" s="43">
        <f t="shared" si="1"/>
        <v>59821</v>
      </c>
      <c r="K27" s="41">
        <f>(F27)*J27*assumptions!$A$3</f>
        <v>1322.90515390524</v>
      </c>
      <c r="L27" s="66">
        <v>95</v>
      </c>
      <c r="M27" s="40">
        <v>95</v>
      </c>
      <c r="N27" s="43">
        <f>(F27)*J27*assumptions!$A$3*('Sorted by Region'!M27/100)</f>
        <v>1256.759896209978</v>
      </c>
      <c r="O27" s="43">
        <f>(F27)*J27*(assumptions!$A$3)*((100-'Sorted by Region'!M27)/100)</f>
        <v>66.145257695262003</v>
      </c>
      <c r="P27" s="43"/>
      <c r="T27" s="52"/>
      <c r="U27" s="43"/>
      <c r="V27" s="20"/>
      <c r="W27" s="13"/>
    </row>
    <row r="28" spans="1:31" ht="12.95" customHeight="1" x14ac:dyDescent="0.2">
      <c r="A28" s="1" t="s">
        <v>219</v>
      </c>
      <c r="B28" s="1" t="s">
        <v>75</v>
      </c>
      <c r="C28" s="8" t="s">
        <v>76</v>
      </c>
      <c r="D28" s="10">
        <v>3.4042424425817772E-2</v>
      </c>
      <c r="E28" s="10">
        <v>5.8823529411764705E-3</v>
      </c>
      <c r="F28" s="10">
        <v>3.4042424425817772E-2</v>
      </c>
      <c r="G28" s="12">
        <v>377696</v>
      </c>
      <c r="H28" s="12">
        <v>7740</v>
      </c>
      <c r="I28" s="13">
        <f t="shared" si="0"/>
        <v>385436</v>
      </c>
      <c r="J28" s="43">
        <f t="shared" si="1"/>
        <v>386984</v>
      </c>
      <c r="K28" s="41">
        <f>(F28)*J28*assumptions!$A$3</f>
        <v>8563.017823100432</v>
      </c>
      <c r="L28" s="66">
        <v>94</v>
      </c>
      <c r="M28" s="40">
        <v>94</v>
      </c>
      <c r="N28" s="43">
        <f>(F28)*J28*assumptions!$A$3*('Sorted by Region'!M28/100)</f>
        <v>8049.2367537144055</v>
      </c>
      <c r="O28" s="43">
        <f>(F28)*J28*(assumptions!$A$3)*((100-'Sorted by Region'!M28)/100)</f>
        <v>513.78106938602593</v>
      </c>
      <c r="P28" s="43"/>
      <c r="R28" s="5" t="s">
        <v>2</v>
      </c>
      <c r="S28" s="5" t="s">
        <v>208</v>
      </c>
      <c r="T28" s="43">
        <f>SUM(T3,T7,T11,T15,T19,T23)</f>
        <v>455864.28733139939</v>
      </c>
      <c r="U28" s="43">
        <f>SUM(U3,U7,U11,U15,U19,U23)</f>
        <v>17177.724709339618</v>
      </c>
      <c r="V28" s="13">
        <f>SUM(V3,V7,V11,V15,V19,V23)</f>
        <v>142921.2141950072</v>
      </c>
      <c r="W28" s="20">
        <f>SUM(W3,W7,W11,W15,W19,W23)</f>
        <v>615963.22623574617</v>
      </c>
    </row>
    <row r="29" spans="1:31" ht="12.95" customHeight="1" x14ac:dyDescent="0.2">
      <c r="A29" s="1" t="s">
        <v>219</v>
      </c>
      <c r="B29" s="1" t="s">
        <v>176</v>
      </c>
      <c r="C29" s="8" t="s">
        <v>177</v>
      </c>
      <c r="D29" s="10"/>
      <c r="E29" s="10">
        <v>3.9104514729603239E-2</v>
      </c>
      <c r="F29" s="10">
        <v>3.9104514729603239E-2</v>
      </c>
      <c r="G29" s="12">
        <v>1091347</v>
      </c>
      <c r="H29" s="12">
        <v>22910</v>
      </c>
      <c r="I29" s="13">
        <f t="shared" si="0"/>
        <v>1114257</v>
      </c>
      <c r="J29" s="43">
        <f t="shared" si="1"/>
        <v>1118839</v>
      </c>
      <c r="K29" s="41">
        <f>(F29)*J29*assumptions!$A$3</f>
        <v>28438.576501110463</v>
      </c>
      <c r="L29" s="66">
        <v>92</v>
      </c>
      <c r="M29" s="40">
        <v>92</v>
      </c>
      <c r="N29" s="43">
        <f>(F29)*J29*assumptions!$A$3*('Sorted by Region'!M29/100)</f>
        <v>26163.490381021627</v>
      </c>
      <c r="O29" s="43">
        <f>(F29)*J29*(assumptions!$A$3)*((100-'Sorted by Region'!M29)/100)</f>
        <v>2275.0861200888371</v>
      </c>
      <c r="P29" s="43"/>
      <c r="S29" s="5" t="s">
        <v>209</v>
      </c>
      <c r="T29" s="43">
        <f t="shared" ref="T29:U31" si="4">SUM(T4,T8,T12,T16,T20,T24)</f>
        <v>342958.05553700129</v>
      </c>
      <c r="U29" s="43">
        <f t="shared" si="4"/>
        <v>35025.594427607939</v>
      </c>
      <c r="V29" s="29"/>
      <c r="W29" s="38">
        <f>SUM(W4,W8,W12,W16,W20,W24)</f>
        <v>520904.86415961647</v>
      </c>
    </row>
    <row r="30" spans="1:31" ht="12.95" customHeight="1" x14ac:dyDescent="0.2">
      <c r="A30" s="1" t="s">
        <v>219</v>
      </c>
      <c r="B30" s="1" t="s">
        <v>362</v>
      </c>
      <c r="C30" s="8" t="s">
        <v>363</v>
      </c>
      <c r="D30" s="10">
        <v>4.0144339197113216E-2</v>
      </c>
      <c r="E30" s="10">
        <v>3.9969834087481143E-2</v>
      </c>
      <c r="F30" s="10">
        <v>4.0144339197113216E-2</v>
      </c>
      <c r="G30" s="12">
        <v>542350</v>
      </c>
      <c r="H30" s="12">
        <v>12910</v>
      </c>
      <c r="I30" s="13">
        <f t="shared" si="0"/>
        <v>555260</v>
      </c>
      <c r="J30" s="43">
        <f t="shared" si="1"/>
        <v>557842</v>
      </c>
      <c r="K30" s="41">
        <f>(F30)*J30*assumptions!$A$3</f>
        <v>14556.229003157421</v>
      </c>
      <c r="L30" s="66">
        <v>70</v>
      </c>
      <c r="M30" s="40">
        <v>70</v>
      </c>
      <c r="N30" s="43">
        <f>(F30)*J30*assumptions!$A$3*('Sorted by Region'!M30/100)</f>
        <v>10189.360302210194</v>
      </c>
      <c r="O30" s="43">
        <f>(F30)*J30*(assumptions!$A$3)*((100-'Sorted by Region'!M30)/100)</f>
        <v>4366.868700947226</v>
      </c>
      <c r="P30" s="43"/>
      <c r="S30" s="5" t="s">
        <v>210</v>
      </c>
      <c r="T30" s="43">
        <f t="shared" si="4"/>
        <v>230051.82374260318</v>
      </c>
      <c r="U30" s="43">
        <f t="shared" si="4"/>
        <v>52873.464145876256</v>
      </c>
      <c r="V30" s="29"/>
      <c r="W30" s="20">
        <f>SUM(W5,W9,W13,W17,W21,W25)</f>
        <v>425846.50208348664</v>
      </c>
      <c r="Y30" s="5" t="s">
        <v>302</v>
      </c>
      <c r="Z30" s="5" t="s">
        <v>195</v>
      </c>
      <c r="AA30" s="13">
        <f>N$48*assumptions!E$8</f>
        <v>37466.619730359394</v>
      </c>
      <c r="AB30" s="13">
        <f>O$48*assumptions!E$8</f>
        <v>10701.693249885751</v>
      </c>
      <c r="AC30" s="13">
        <f>SUM(AA30,AB30)</f>
        <v>48168.312980245144</v>
      </c>
      <c r="AD30" s="13">
        <f>AC30-W64</f>
        <v>8991.9887352862497</v>
      </c>
      <c r="AE30" s="59">
        <f>AC30-W66</f>
        <v>24278.369585272889</v>
      </c>
    </row>
    <row r="31" spans="1:31" ht="12.95" customHeight="1" x14ac:dyDescent="0.2">
      <c r="A31" s="1" t="s">
        <v>219</v>
      </c>
      <c r="B31" s="1" t="s">
        <v>314</v>
      </c>
      <c r="C31" s="8" t="s">
        <v>315</v>
      </c>
      <c r="D31" s="10">
        <v>4.5187013480159487E-2</v>
      </c>
      <c r="E31" s="10">
        <v>4.7466666666666664E-2</v>
      </c>
      <c r="F31" s="10">
        <v>4.5187013480159487E-2</v>
      </c>
      <c r="G31" s="12">
        <v>35040</v>
      </c>
      <c r="H31" s="12">
        <v>650</v>
      </c>
      <c r="I31" s="13">
        <f t="shared" si="0"/>
        <v>35690</v>
      </c>
      <c r="J31" s="43">
        <f t="shared" si="1"/>
        <v>35820</v>
      </c>
      <c r="K31" s="41">
        <f>(F31)*J31*assumptions!$A$3</f>
        <v>1052.0892348585533</v>
      </c>
      <c r="L31" s="66">
        <v>85</v>
      </c>
      <c r="M31" s="40">
        <v>85</v>
      </c>
      <c r="N31" s="43">
        <f>(F31)*J31*assumptions!$A$3*('Sorted by Region'!M31/100)</f>
        <v>894.27584962977028</v>
      </c>
      <c r="O31" s="43">
        <f>(F31)*J31*(assumptions!$A$3)*((100-'Sorted by Region'!M31)/100)</f>
        <v>157.81338522878298</v>
      </c>
      <c r="P31" s="43"/>
      <c r="S31" s="72" t="s">
        <v>434</v>
      </c>
      <c r="T31" s="62">
        <f t="shared" si="4"/>
        <v>106276.32712392951</v>
      </c>
      <c r="U31" s="62">
        <f t="shared" si="4"/>
        <v>72439.513803674301</v>
      </c>
      <c r="V31" s="59"/>
      <c r="W31" s="59">
        <f>SUM(W6,W10,W14,W18,W22,W26)</f>
        <v>321637.05512261111</v>
      </c>
      <c r="Z31" s="5" t="s">
        <v>197</v>
      </c>
      <c r="AA31" s="13">
        <f>N$106*assumptions!E$8</f>
        <v>2328.1927733051893</v>
      </c>
      <c r="AB31" s="13">
        <f>O$106*assumptions!E$8</f>
        <v>1277.4058544943814</v>
      </c>
      <c r="AC31" s="13">
        <f t="shared" ref="AC31:AC37" si="5">SUM(AA31,AB31)</f>
        <v>3605.5986277995707</v>
      </c>
      <c r="AD31" s="13">
        <f>AC31-W68</f>
        <v>558.76626559324541</v>
      </c>
      <c r="AE31" s="59">
        <f>AC31-W70</f>
        <v>1508.6689171017629</v>
      </c>
    </row>
    <row r="32" spans="1:31" ht="12.95" customHeight="1" x14ac:dyDescent="0.2">
      <c r="A32" s="1" t="s">
        <v>219</v>
      </c>
      <c r="B32" s="1" t="s">
        <v>368</v>
      </c>
      <c r="C32" s="8" t="s">
        <v>369</v>
      </c>
      <c r="D32" s="10">
        <v>4.8407643312101914E-2</v>
      </c>
      <c r="E32" s="10"/>
      <c r="F32" s="10">
        <v>4.8407643312101914E-2</v>
      </c>
      <c r="G32" s="12">
        <v>64983</v>
      </c>
      <c r="H32" s="12">
        <v>1980</v>
      </c>
      <c r="I32" s="13">
        <f t="shared" si="0"/>
        <v>66963</v>
      </c>
      <c r="J32" s="43">
        <f t="shared" si="1"/>
        <v>67359</v>
      </c>
      <c r="K32" s="41">
        <f>(F32)*J32*assumptions!$A$3</f>
        <v>2119.4487898089174</v>
      </c>
      <c r="L32" s="66">
        <v>78</v>
      </c>
      <c r="M32" s="40">
        <v>78</v>
      </c>
      <c r="N32" s="43">
        <f>(F32)*J32*assumptions!$A$3*('Sorted by Region'!M32/100)</f>
        <v>1653.1700560509555</v>
      </c>
      <c r="O32" s="43">
        <f>(F32)*J32*(assumptions!$A$3)*((100-'Sorted by Region'!M32)/100)</f>
        <v>466.27873375796185</v>
      </c>
      <c r="P32" s="43"/>
      <c r="Z32" s="5" t="s">
        <v>198</v>
      </c>
      <c r="AA32" s="13">
        <f>N$160*assumptions!E$8</f>
        <v>1893.4482322089943</v>
      </c>
      <c r="AB32" s="13">
        <f>O$160*assumptions!E$8</f>
        <v>50.719014480249605</v>
      </c>
      <c r="AC32" s="13">
        <f t="shared" si="5"/>
        <v>1944.1672466892439</v>
      </c>
      <c r="AD32" s="13">
        <f>AC32-W72</f>
        <v>1060.3310100370368</v>
      </c>
      <c r="AE32" s="59">
        <f>AC32-W74</f>
        <v>1363.282727190476</v>
      </c>
    </row>
    <row r="33" spans="1:32" ht="12.95" customHeight="1" x14ac:dyDescent="0.2">
      <c r="A33" s="1" t="s">
        <v>219</v>
      </c>
      <c r="B33" s="1" t="s">
        <v>390</v>
      </c>
      <c r="C33" s="8" t="s">
        <v>391</v>
      </c>
      <c r="D33" s="10">
        <v>5.2039164289569041E-2</v>
      </c>
      <c r="E33" s="10">
        <v>5.1043796337002588E-2</v>
      </c>
      <c r="F33" s="10">
        <v>5.2039164289569041E-2</v>
      </c>
      <c r="G33" s="12">
        <v>542468</v>
      </c>
      <c r="H33" s="12">
        <v>14440</v>
      </c>
      <c r="I33" s="13">
        <f t="shared" si="0"/>
        <v>556908</v>
      </c>
      <c r="J33" s="43">
        <f t="shared" si="1"/>
        <v>559796</v>
      </c>
      <c r="K33" s="41">
        <f>(F33)*J33*assumptions!$A$3</f>
        <v>18935.355408218333</v>
      </c>
      <c r="L33" s="66">
        <v>94</v>
      </c>
      <c r="M33" s="40">
        <v>94</v>
      </c>
      <c r="N33" s="43">
        <f>(F33)*J33*assumptions!$A$3*('Sorted by Region'!M33/100)</f>
        <v>17799.23408372523</v>
      </c>
      <c r="O33" s="43">
        <f>(F33)*J33*(assumptions!$A$3)*((100-'Sorted by Region'!M33)/100)</f>
        <v>1136.1213244931</v>
      </c>
      <c r="P33" s="43"/>
      <c r="Q33" s="5" t="s">
        <v>444</v>
      </c>
      <c r="R33" s="5" t="s">
        <v>195</v>
      </c>
      <c r="S33" s="5" t="s">
        <v>440</v>
      </c>
      <c r="T33" s="43">
        <f>N$48*(1-assumptions!B$15)*assumptions!E$7</f>
        <v>78679.901433754727</v>
      </c>
      <c r="U33" s="43">
        <f>N$48*(assumptions!B$15)*assumptions!E$7*(1-assumptions!F$7)</f>
        <v>1573.5980286750951</v>
      </c>
      <c r="V33" s="13">
        <f>O$48*assumptions!E$7</f>
        <v>24970.617583066753</v>
      </c>
      <c r="W33" s="13">
        <f>SUM(T33,U33,V33)</f>
        <v>105224.11704549658</v>
      </c>
      <c r="X33" s="13"/>
      <c r="Z33" s="5" t="s">
        <v>207</v>
      </c>
      <c r="AA33" s="13">
        <f>N$84*assumptions!E$8</f>
        <v>9017.2937082956378</v>
      </c>
      <c r="AB33" s="13">
        <f>O$84*assumptions!E$8</f>
        <v>567.69373531569374</v>
      </c>
      <c r="AC33" s="13">
        <f t="shared" si="5"/>
        <v>9584.9874436113314</v>
      </c>
      <c r="AD33" s="13">
        <f>AC33-W76</f>
        <v>4328.3009799819056</v>
      </c>
      <c r="AE33" s="59">
        <f>AC33-W78</f>
        <v>5843.206322975574</v>
      </c>
    </row>
    <row r="34" spans="1:32" ht="12.95" customHeight="1" x14ac:dyDescent="0.2">
      <c r="A34" s="1" t="s">
        <v>219</v>
      </c>
      <c r="B34" s="1" t="s">
        <v>68</v>
      </c>
      <c r="C34" s="8" t="s">
        <v>69</v>
      </c>
      <c r="D34" s="10">
        <v>5.9729935750843947E-2</v>
      </c>
      <c r="E34" s="10">
        <v>6.1486091165363542E-2</v>
      </c>
      <c r="F34" s="10">
        <v>5.9729935750843947E-2</v>
      </c>
      <c r="G34" s="12">
        <v>756515</v>
      </c>
      <c r="H34" s="12">
        <v>17150</v>
      </c>
      <c r="I34" s="13">
        <f t="shared" si="0"/>
        <v>773665</v>
      </c>
      <c r="J34" s="43">
        <f t="shared" si="1"/>
        <v>777095</v>
      </c>
      <c r="K34" s="41">
        <f>(F34)*J34*assumptions!$A$3</f>
        <v>30170.292374496352</v>
      </c>
      <c r="L34" s="66">
        <v>90</v>
      </c>
      <c r="M34" s="40">
        <v>90</v>
      </c>
      <c r="N34" s="43">
        <f>(F34)*J34*assumptions!$A$3*('Sorted by Region'!M34/100)</f>
        <v>27153.263137046717</v>
      </c>
      <c r="O34" s="43">
        <f>(F34)*J34*(assumptions!$A$3)*((100-'Sorted by Region'!M34)/100)</f>
        <v>3017.0292374496353</v>
      </c>
      <c r="P34" s="43"/>
      <c r="R34" s="5" t="s">
        <v>195</v>
      </c>
      <c r="S34" s="5" t="s">
        <v>441</v>
      </c>
      <c r="T34" s="43">
        <f>N$48*(1-assumptions!C$15)*assumptions!E$7</f>
        <v>61195.478892920342</v>
      </c>
      <c r="U34" s="43">
        <f>N$48*(assumptions!C$15)*assumptions!E$7*(1-assumptions!F$7)</f>
        <v>4720.7940860252847</v>
      </c>
      <c r="V34" s="29"/>
      <c r="W34" s="13">
        <f>SUM(T34,U34,V33)</f>
        <v>90886.89056201237</v>
      </c>
      <c r="Z34" s="5" t="s">
        <v>199</v>
      </c>
      <c r="AA34" s="13">
        <f>N$172*assumptions!E$8</f>
        <v>42630.498392708119</v>
      </c>
      <c r="AB34" s="13">
        <f>O$172*assumptions!E$8</f>
        <v>11665.894320611518</v>
      </c>
      <c r="AC34" s="13">
        <f t="shared" si="5"/>
        <v>54296.392713319641</v>
      </c>
      <c r="AD34" s="13">
        <f>AC34-W80</f>
        <v>13641.759485666604</v>
      </c>
      <c r="AE34" s="59">
        <f>AC34-W82</f>
        <v>27624.562958474868</v>
      </c>
    </row>
    <row r="35" spans="1:32" ht="12.95" customHeight="1" x14ac:dyDescent="0.2">
      <c r="A35" s="1" t="s">
        <v>219</v>
      </c>
      <c r="B35" s="1" t="s">
        <v>269</v>
      </c>
      <c r="C35" s="8" t="s">
        <v>270</v>
      </c>
      <c r="D35" s="10">
        <v>6.8911460204448216E-2</v>
      </c>
      <c r="E35" s="10">
        <v>4.3999999999999997E-2</v>
      </c>
      <c r="F35" s="10">
        <v>6.8911460204448216E-2</v>
      </c>
      <c r="G35" s="12">
        <v>1771373</v>
      </c>
      <c r="H35" s="12">
        <v>47060</v>
      </c>
      <c r="I35" s="13">
        <f t="shared" si="0"/>
        <v>1818433</v>
      </c>
      <c r="J35" s="43">
        <f t="shared" si="1"/>
        <v>1827845</v>
      </c>
      <c r="K35" s="41">
        <f>(F35)*J35*assumptions!$A$3</f>
        <v>81873.654185309773</v>
      </c>
      <c r="L35" s="66">
        <v>76</v>
      </c>
      <c r="M35" s="40">
        <v>76</v>
      </c>
      <c r="N35" s="43">
        <f>(F35)*J35*assumptions!$A$3*('Sorted by Region'!M35/100)</f>
        <v>62223.977180835427</v>
      </c>
      <c r="O35" s="43">
        <f>(F35)*J35*(assumptions!$A$3)*((100-'Sorted by Region'!M35)/100)</f>
        <v>19649.677004474346</v>
      </c>
      <c r="P35" s="43"/>
      <c r="R35" s="5" t="s">
        <v>195</v>
      </c>
      <c r="S35" s="5" t="s">
        <v>442</v>
      </c>
      <c r="T35" s="43">
        <f>N$48*(1-assumptions!D$15)*assumptions!E$7</f>
        <v>43711.056352085958</v>
      </c>
      <c r="U35" s="43">
        <f>N$48*(assumptions!D$15)*assumptions!E$7*(1-assumptions!F$7)</f>
        <v>7867.9901433754749</v>
      </c>
      <c r="V35" s="29"/>
      <c r="W35" s="13">
        <f>SUM(T35,U35,V33)</f>
        <v>76549.664078528178</v>
      </c>
      <c r="Z35" s="5" t="s">
        <v>200</v>
      </c>
      <c r="AA35" s="13">
        <f>N$200*assumptions!E$8</f>
        <v>4371.2631390441165</v>
      </c>
      <c r="AB35" s="13">
        <f>O$200*assumptions!E$8</f>
        <v>472.95782050211938</v>
      </c>
      <c r="AC35" s="13">
        <f t="shared" si="5"/>
        <v>4844.2209595462355</v>
      </c>
      <c r="AD35" s="13">
        <f>AC35-W84</f>
        <v>2098.2063067411755</v>
      </c>
      <c r="AE35" s="59">
        <f>AC35-W86</f>
        <v>2832.5785141005872</v>
      </c>
    </row>
    <row r="36" spans="1:32" ht="12.95" customHeight="1" x14ac:dyDescent="0.2">
      <c r="A36" s="1" t="s">
        <v>219</v>
      </c>
      <c r="B36" s="1" t="s">
        <v>358</v>
      </c>
      <c r="C36" s="8" t="s">
        <v>359</v>
      </c>
      <c r="D36" s="10"/>
      <c r="E36" s="10">
        <v>7.2999143324420451E-2</v>
      </c>
      <c r="F36" s="10">
        <v>7.2999143324420451E-2</v>
      </c>
      <c r="G36" s="73">
        <v>498429</v>
      </c>
      <c r="H36" s="12">
        <v>14990</v>
      </c>
      <c r="I36" s="13">
        <f t="shared" si="0"/>
        <v>513419</v>
      </c>
      <c r="J36" s="43">
        <f t="shared" si="1"/>
        <v>516417</v>
      </c>
      <c r="K36" s="41">
        <f>(F36)*J36*assumptions!$A$3</f>
        <v>24503.699088808706</v>
      </c>
      <c r="L36" s="66">
        <v>39</v>
      </c>
      <c r="M36" s="40">
        <v>39</v>
      </c>
      <c r="N36" s="43">
        <f>(F36)*J36*assumptions!$A$3*('Sorted by Region'!M36/100)</f>
        <v>9556.4426446353955</v>
      </c>
      <c r="O36" s="43">
        <f>(F36)*J36*(assumptions!$A$3)*((100-'Sorted by Region'!M36)/100)</f>
        <v>14947.25644417331</v>
      </c>
      <c r="P36" s="43"/>
      <c r="R36" s="5" t="s">
        <v>195</v>
      </c>
      <c r="S36" s="72" t="s">
        <v>434</v>
      </c>
      <c r="T36" s="62">
        <f>N$48*(1-assumptions!E$15)*assumptions!E$7</f>
        <v>16610.20141379266</v>
      </c>
      <c r="U36" s="62">
        <f>N$48*(assumptions!E$15)*assumptions!E$7*(1-assumptions!F$7)</f>
        <v>12746.14403226827</v>
      </c>
      <c r="V36" s="59"/>
      <c r="W36" s="59">
        <f>SUM(T36,U36,V33)</f>
        <v>54326.963029127684</v>
      </c>
    </row>
    <row r="37" spans="1:32" ht="12.95" customHeight="1" x14ac:dyDescent="0.2">
      <c r="A37" s="1" t="s">
        <v>219</v>
      </c>
      <c r="B37" s="1" t="s">
        <v>330</v>
      </c>
      <c r="C37" s="8" t="s">
        <v>331</v>
      </c>
      <c r="D37" s="10">
        <v>7.5724774096385547E-2</v>
      </c>
      <c r="E37" s="10">
        <v>5.8797690763052211E-2</v>
      </c>
      <c r="F37" s="10">
        <v>7.5724774096385547E-2</v>
      </c>
      <c r="G37" s="12">
        <v>153953</v>
      </c>
      <c r="H37" s="12">
        <v>4500</v>
      </c>
      <c r="I37" s="13">
        <f t="shared" si="0"/>
        <v>158453</v>
      </c>
      <c r="J37" s="43">
        <f t="shared" si="1"/>
        <v>159353</v>
      </c>
      <c r="K37" s="41">
        <f>(F37)*J37*assumptions!$A$3</f>
        <v>7843.5304522778624</v>
      </c>
      <c r="L37" s="66">
        <v>69</v>
      </c>
      <c r="M37" s="40">
        <v>69</v>
      </c>
      <c r="N37" s="43">
        <f>(F37)*J37*assumptions!$A$3*('Sorted by Region'!M37/100)</f>
        <v>5412.0360120717251</v>
      </c>
      <c r="O37" s="43">
        <f>(F37)*J37*(assumptions!$A$3)*((100-'Sorted by Region'!M37)/100)</f>
        <v>2431.4944402061374</v>
      </c>
      <c r="P37" s="43"/>
      <c r="R37" s="5" t="s">
        <v>197</v>
      </c>
      <c r="S37" s="5" t="s">
        <v>440</v>
      </c>
      <c r="T37" s="43">
        <f>N$106*(1-assumptions!B$16)*assumptions!E$7</f>
        <v>4889.2048239408969</v>
      </c>
      <c r="U37" s="43">
        <f>N$106*assumptions!B$16*assumptions!E$7*(1-assumptions!F$7)</f>
        <v>97.784096478817986</v>
      </c>
      <c r="V37" s="13">
        <f>O$106*assumptions!E$7</f>
        <v>2980.6136604868902</v>
      </c>
      <c r="W37" s="13">
        <f>SUM(T37,U37,V37)</f>
        <v>7967.602580906605</v>
      </c>
      <c r="X37" s="13"/>
      <c r="Z37" s="5" t="s">
        <v>2</v>
      </c>
      <c r="AA37" s="31">
        <f>SUM(AA30,AA31,AA32,AA33,AA34,AA35)</f>
        <v>97707.315975921461</v>
      </c>
      <c r="AB37" s="31">
        <f>SUM(AB30,AB31,AB32,AB33,AB34,AB35)</f>
        <v>24736.363995289717</v>
      </c>
      <c r="AC37" s="13">
        <f t="shared" si="5"/>
        <v>122443.67997121118</v>
      </c>
      <c r="AD37" s="31">
        <f>SUM(AD30,AD31,AD32,AD33,AD34,AD35)</f>
        <v>30679.352783306218</v>
      </c>
      <c r="AE37" s="60">
        <f>SUM(AE30,AE31,AE32,AE33,AE34,AE35)</f>
        <v>63450.669025116164</v>
      </c>
    </row>
    <row r="38" spans="1:32" ht="12.95" customHeight="1" x14ac:dyDescent="0.2">
      <c r="A38" s="1" t="s">
        <v>219</v>
      </c>
      <c r="B38" s="1" t="s">
        <v>275</v>
      </c>
      <c r="C38" s="8" t="s">
        <v>276</v>
      </c>
      <c r="D38" s="10">
        <v>7.8785242748475273E-2</v>
      </c>
      <c r="E38" s="10">
        <v>6.9280149124825954E-2</v>
      </c>
      <c r="F38" s="10">
        <v>7.8785242748475273E-2</v>
      </c>
      <c r="G38" s="12">
        <v>876499</v>
      </c>
      <c r="H38" s="12">
        <v>25800</v>
      </c>
      <c r="I38" s="13">
        <f t="shared" si="0"/>
        <v>902299</v>
      </c>
      <c r="J38" s="43">
        <f t="shared" si="1"/>
        <v>907459</v>
      </c>
      <c r="K38" s="41">
        <f>(F38)*J38*assumptions!$A$3</f>
        <v>46471.345439537603</v>
      </c>
      <c r="L38" s="66">
        <v>89</v>
      </c>
      <c r="M38" s="40">
        <v>89</v>
      </c>
      <c r="N38" s="43">
        <f>(F38)*J38*assumptions!$A$3*('Sorted by Region'!M38/100)</f>
        <v>41359.497441188469</v>
      </c>
      <c r="O38" s="43">
        <f>(F38)*J38*(assumptions!$A$3)*((100-'Sorted by Region'!M38)/100)</f>
        <v>5111.8479983491361</v>
      </c>
      <c r="P38" s="43"/>
      <c r="R38" s="5" t="s">
        <v>197</v>
      </c>
      <c r="S38" s="5" t="s">
        <v>441</v>
      </c>
      <c r="T38" s="43">
        <f>N$106*(1-assumptions!C$16)*assumptions!E$7</f>
        <v>3802.7148630651427</v>
      </c>
      <c r="U38" s="43">
        <f>N$106*assumptions!C$16*assumptions!E$7*(1-assumptions!F$7)</f>
        <v>293.35228943645393</v>
      </c>
      <c r="V38" s="29"/>
      <c r="W38" s="13">
        <f>SUM(T38,U38,V37)</f>
        <v>7076.6808129884867</v>
      </c>
    </row>
    <row r="39" spans="1:32" ht="12.95" customHeight="1" x14ac:dyDescent="0.2">
      <c r="A39" s="1" t="s">
        <v>219</v>
      </c>
      <c r="B39" s="1" t="s">
        <v>273</v>
      </c>
      <c r="C39" s="8" t="s">
        <v>367</v>
      </c>
      <c r="D39" s="10">
        <v>9.1229103368891631E-2</v>
      </c>
      <c r="E39" s="10">
        <v>7.7023327605789671E-2</v>
      </c>
      <c r="F39" s="10">
        <v>9.1229103368891631E-2</v>
      </c>
      <c r="G39" s="12">
        <v>687234</v>
      </c>
      <c r="H39" s="12">
        <v>14600</v>
      </c>
      <c r="I39" s="13">
        <f t="shared" si="0"/>
        <v>701834</v>
      </c>
      <c r="J39" s="43">
        <f t="shared" si="1"/>
        <v>704754</v>
      </c>
      <c r="K39" s="41">
        <f>(F39)*J39*assumptions!$A$3</f>
        <v>41791.149085165904</v>
      </c>
      <c r="L39" s="66">
        <v>80</v>
      </c>
      <c r="M39" s="40">
        <v>80</v>
      </c>
      <c r="N39" s="43">
        <f>(F39)*J39*assumptions!$A$3*('Sorted by Region'!M39/100)</f>
        <v>33432.919268132726</v>
      </c>
      <c r="O39" s="43">
        <f>(F39)*J39*(assumptions!$A$3)*((100-'Sorted by Region'!M39)/100)</f>
        <v>8358.2298170331815</v>
      </c>
      <c r="P39" s="43"/>
      <c r="R39" s="5" t="s">
        <v>197</v>
      </c>
      <c r="S39" s="5" t="s">
        <v>442</v>
      </c>
      <c r="T39" s="43">
        <f>N$106*(1-assumptions!D$16)*assumptions!E$7</f>
        <v>2716.2249021893876</v>
      </c>
      <c r="U39" s="43">
        <f>N$106*assumptions!D$16*assumptions!E$7*(1-assumptions!F$7)</f>
        <v>488.9204823940899</v>
      </c>
      <c r="V39" s="29"/>
      <c r="W39" s="13">
        <f>SUM(T39,U39,V37)</f>
        <v>6185.7590450703683</v>
      </c>
    </row>
    <row r="40" spans="1:32" ht="12.95" customHeight="1" x14ac:dyDescent="0.2">
      <c r="A40" s="1" t="s">
        <v>219</v>
      </c>
      <c r="B40" s="1" t="s">
        <v>220</v>
      </c>
      <c r="C40" s="8" t="s">
        <v>221</v>
      </c>
      <c r="D40" s="3"/>
      <c r="E40" s="3"/>
      <c r="F40" s="18">
        <f>F203</f>
        <v>2.1265045584921122E-2</v>
      </c>
      <c r="G40" s="12">
        <v>773674</v>
      </c>
      <c r="H40" s="12">
        <v>19990</v>
      </c>
      <c r="I40" s="13">
        <f t="shared" si="0"/>
        <v>793664</v>
      </c>
      <c r="J40" s="43">
        <f t="shared" si="1"/>
        <v>797662</v>
      </c>
      <c r="K40" s="41">
        <f>(F40)*J40*assumptions!$A$3</f>
        <v>11025.507214383579</v>
      </c>
      <c r="L40" s="66">
        <v>80</v>
      </c>
      <c r="M40" s="40">
        <v>80</v>
      </c>
      <c r="N40" s="43">
        <f>(F40)*J40*assumptions!$A$3*('Sorted by Region'!M40/100)</f>
        <v>8820.4057715068629</v>
      </c>
      <c r="O40" s="43">
        <f>(F40)*J40*(assumptions!$A$3)*((100-'Sorted by Region'!M40)/100)</f>
        <v>2205.1014428767157</v>
      </c>
      <c r="P40" s="43"/>
      <c r="R40" s="5" t="s">
        <v>197</v>
      </c>
      <c r="S40" s="72" t="s">
        <v>434</v>
      </c>
      <c r="T40" s="62">
        <f>N$106*(1-assumptions!E$16)*assumptions!E$7</f>
        <v>1032.165462831967</v>
      </c>
      <c r="U40" s="62">
        <f>N$106*assumptions!E$16*assumptions!E$7*(1-assumptions!F$7)</f>
        <v>792.05118147842575</v>
      </c>
      <c r="V40" s="59"/>
      <c r="W40" s="59">
        <f>SUM(T40,U40,V37)</f>
        <v>4804.8303047972831</v>
      </c>
    </row>
    <row r="41" spans="1:32" ht="12.95" customHeight="1" x14ac:dyDescent="0.2">
      <c r="A41" s="1" t="s">
        <v>219</v>
      </c>
      <c r="B41" s="1" t="s">
        <v>64</v>
      </c>
      <c r="C41" s="8" t="s">
        <v>65</v>
      </c>
      <c r="D41" s="10"/>
      <c r="E41" s="10"/>
      <c r="F41" s="18">
        <f>F203</f>
        <v>2.1265045584921122E-2</v>
      </c>
      <c r="G41" s="12">
        <v>125044</v>
      </c>
      <c r="H41" s="12">
        <v>3270</v>
      </c>
      <c r="I41" s="13">
        <f t="shared" si="0"/>
        <v>128314</v>
      </c>
      <c r="J41" s="43">
        <f t="shared" si="1"/>
        <v>128968</v>
      </c>
      <c r="K41" s="41">
        <f>(F41)*J41*assumptions!$A$3</f>
        <v>1782.6317593474696</v>
      </c>
      <c r="L41" s="66">
        <v>86</v>
      </c>
      <c r="M41" s="40">
        <v>86</v>
      </c>
      <c r="N41" s="43">
        <f>(F41)*J41*assumptions!$A$3*('Sorted by Region'!M41/100)</f>
        <v>1533.0633130388239</v>
      </c>
      <c r="O41" s="43">
        <f>(F41)*J41*(assumptions!$A$3)*((100-'Sorted by Region'!M41)/100)</f>
        <v>249.56844630864578</v>
      </c>
      <c r="P41" s="43"/>
      <c r="R41" s="5" t="s">
        <v>198</v>
      </c>
      <c r="S41" s="5" t="s">
        <v>440</v>
      </c>
      <c r="T41" s="43">
        <f>N$160*(1-assumptions!B$17)*assumptions!E$7</f>
        <v>2209.0229375771601</v>
      </c>
      <c r="U41" s="43">
        <f>N$160*assumptions!B$17*assumptions!E$7*(1-assumptions!F$7)</f>
        <v>397.6241287638889</v>
      </c>
      <c r="V41" s="13">
        <f>O$160*assumptions!E$7</f>
        <v>118.34436712058242</v>
      </c>
      <c r="W41" s="13">
        <f>SUM(T41,U41,V41)</f>
        <v>2724.9914334616315</v>
      </c>
      <c r="X41" s="13"/>
    </row>
    <row r="42" spans="1:32" ht="12.95" customHeight="1" x14ac:dyDescent="0.2">
      <c r="A42" s="1" t="s">
        <v>219</v>
      </c>
      <c r="B42" s="1" t="s">
        <v>427</v>
      </c>
      <c r="C42" s="8" t="s">
        <v>89</v>
      </c>
      <c r="D42" s="10"/>
      <c r="E42" s="10"/>
      <c r="F42" s="18">
        <f>F203</f>
        <v>2.1265045584921122E-2</v>
      </c>
      <c r="G42" s="12">
        <v>61096</v>
      </c>
      <c r="H42" s="12">
        <v>1630</v>
      </c>
      <c r="I42" s="13">
        <f t="shared" si="0"/>
        <v>62726</v>
      </c>
      <c r="J42" s="43">
        <f t="shared" si="1"/>
        <v>63052</v>
      </c>
      <c r="K42" s="41">
        <f>(F42)*J42*assumptions!$A$3</f>
        <v>871.5223752432903</v>
      </c>
      <c r="L42" s="66">
        <v>98</v>
      </c>
      <c r="M42" s="40">
        <v>98</v>
      </c>
      <c r="N42" s="43">
        <f>(F42)*J42*assumptions!$A$3*('Sorted by Region'!M42/100)</f>
        <v>854.09192773842449</v>
      </c>
      <c r="O42" s="43">
        <f>(F42)*J42*(assumptions!$A$3)*((100-'Sorted by Region'!M42)/100)</f>
        <v>17.430447504865807</v>
      </c>
      <c r="P42" s="43"/>
      <c r="R42" s="5" t="s">
        <v>198</v>
      </c>
      <c r="S42" s="5" t="s">
        <v>441</v>
      </c>
      <c r="T42" s="43">
        <f>N$160*(1-assumptions!C$17)*assumptions!E$7</f>
        <v>1325.4137625462961</v>
      </c>
      <c r="U42" s="43">
        <f>N$160*assumptions!C$17*assumptions!E$7*(1-assumptions!F$7)</f>
        <v>556.67378026944448</v>
      </c>
      <c r="V42" s="29"/>
      <c r="W42" s="13">
        <f>SUM(T42,U42,V41)</f>
        <v>2000.4319099363229</v>
      </c>
    </row>
    <row r="43" spans="1:32" s="9" customFormat="1" ht="12.95" customHeight="1" x14ac:dyDescent="0.2">
      <c r="A43" s="8" t="s">
        <v>219</v>
      </c>
      <c r="B43" s="8" t="s">
        <v>384</v>
      </c>
      <c r="C43" s="8" t="s">
        <v>385</v>
      </c>
      <c r="D43" s="10"/>
      <c r="E43" s="10"/>
      <c r="F43" s="18">
        <f>F203</f>
        <v>2.1265045584921122E-2</v>
      </c>
      <c r="G43" s="12">
        <v>25064</v>
      </c>
      <c r="H43" s="12">
        <v>430</v>
      </c>
      <c r="I43" s="13">
        <f t="shared" si="0"/>
        <v>25494</v>
      </c>
      <c r="J43" s="43">
        <f t="shared" si="1"/>
        <v>25580</v>
      </c>
      <c r="K43" s="41">
        <f>(F43)*J43*assumptions!$A$3</f>
        <v>353.57391294048352</v>
      </c>
      <c r="L43" s="66">
        <v>86</v>
      </c>
      <c r="M43" s="40">
        <v>86</v>
      </c>
      <c r="N43" s="43">
        <f>(F43)*J43*assumptions!$A$3*('Sorted by Region'!M43/100)</f>
        <v>304.0735651288158</v>
      </c>
      <c r="O43" s="43">
        <f>(F43)*J43*(assumptions!$A$3)*((100-'Sorted by Region'!M43)/100)</f>
        <v>49.500347811667702</v>
      </c>
      <c r="P43" s="43"/>
      <c r="Q43" s="5"/>
      <c r="R43" s="5" t="s">
        <v>198</v>
      </c>
      <c r="S43" s="5" t="s">
        <v>442</v>
      </c>
      <c r="T43" s="43">
        <f>N$160*(1-assumptions!D$17)*assumptions!E$7</f>
        <v>441.80458751543199</v>
      </c>
      <c r="U43" s="43">
        <f>N$160*assumptions!D$17*assumptions!E$7*(1-assumptions!F$7)</f>
        <v>715.72343177500011</v>
      </c>
      <c r="V43" s="29"/>
      <c r="W43" s="13">
        <f>SUM(T43,U43,V41)</f>
        <v>1275.8723864110143</v>
      </c>
      <c r="Y43" s="5" t="s">
        <v>303</v>
      </c>
      <c r="Z43" s="5" t="s">
        <v>195</v>
      </c>
      <c r="AA43" s="13">
        <f>N$48*assumptions!E$9</f>
        <v>24977.746486906264</v>
      </c>
      <c r="AB43" s="13">
        <f>O$48*assumptions!E$9</f>
        <v>7134.4621665905006</v>
      </c>
      <c r="AC43" s="13">
        <f>SUM(AA43,AB43)</f>
        <v>32112.208653496764</v>
      </c>
      <c r="AD43" s="13">
        <f>AC43-W94</f>
        <v>4795.7273254860047</v>
      </c>
      <c r="AE43" s="59">
        <f>AC43-W96</f>
        <v>12948.463778812209</v>
      </c>
      <c r="AF43"/>
    </row>
    <row r="44" spans="1:32" ht="12.95" customHeight="1" x14ac:dyDescent="0.2">
      <c r="A44" s="1" t="s">
        <v>219</v>
      </c>
      <c r="B44" s="1" t="s">
        <v>66</v>
      </c>
      <c r="C44" s="8" t="s">
        <v>67</v>
      </c>
      <c r="D44" s="10"/>
      <c r="E44" s="10"/>
      <c r="F44" s="18">
        <f>F203</f>
        <v>2.1265045584921122E-2</v>
      </c>
      <c r="G44" s="12">
        <v>145435</v>
      </c>
      <c r="H44" s="12">
        <v>4100</v>
      </c>
      <c r="I44" s="13">
        <f t="shared" si="0"/>
        <v>149535</v>
      </c>
      <c r="J44" s="43">
        <f t="shared" si="1"/>
        <v>150355</v>
      </c>
      <c r="K44" s="41">
        <f>(F44)*J44*assumptions!$A$3</f>
        <v>2078.24885379853</v>
      </c>
      <c r="L44" s="66">
        <v>79</v>
      </c>
      <c r="M44" s="40">
        <v>79</v>
      </c>
      <c r="N44" s="43">
        <f>(F44)*J44*assumptions!$A$3*('Sorted by Region'!M44/100)</f>
        <v>1641.8165945008388</v>
      </c>
      <c r="O44" s="43">
        <f>(F44)*J44*(assumptions!$A$3)*((100-'Sorted by Region'!M44)/100)</f>
        <v>436.4322592976913</v>
      </c>
      <c r="P44" s="43"/>
      <c r="R44" s="5" t="s">
        <v>198</v>
      </c>
      <c r="S44" s="72" t="s">
        <v>434</v>
      </c>
      <c r="T44" s="62">
        <f>N$160*(1-assumptions!E$17)*assumptions!E$7</f>
        <v>441.80458751543199</v>
      </c>
      <c r="U44" s="62">
        <f>N$160*assumptions!E$17*assumptions!E$7*(1-assumptions!F$7)</f>
        <v>715.72343177500011</v>
      </c>
      <c r="V44" s="59"/>
      <c r="W44" s="59">
        <f>SUM(T44,U44,V41)</f>
        <v>1275.8723864110143</v>
      </c>
      <c r="Z44" s="5" t="s">
        <v>197</v>
      </c>
      <c r="AA44" s="13">
        <f>N$106*assumptions!E$9</f>
        <v>1552.1285155367927</v>
      </c>
      <c r="AB44" s="13">
        <f>O$106*assumptions!E$9</f>
        <v>851.60390299625431</v>
      </c>
      <c r="AC44" s="13">
        <f>SUM(AA44,AB44)</f>
        <v>2403.7324185330472</v>
      </c>
      <c r="AD44" s="13">
        <f>AC44-W98</f>
        <v>298.00867498306434</v>
      </c>
      <c r="AE44" s="59">
        <f>AC44-W100</f>
        <v>804.62342245427362</v>
      </c>
    </row>
    <row r="45" spans="1:32" ht="12.95" customHeight="1" x14ac:dyDescent="0.2">
      <c r="A45" s="1" t="s">
        <v>219</v>
      </c>
      <c r="B45" s="1" t="s">
        <v>10</v>
      </c>
      <c r="C45" s="8" t="s">
        <v>274</v>
      </c>
      <c r="D45" s="10"/>
      <c r="E45" s="10"/>
      <c r="F45" s="18">
        <f>F203</f>
        <v>2.1265045584921122E-2</v>
      </c>
      <c r="G45" s="12">
        <v>107962</v>
      </c>
      <c r="H45" s="12">
        <v>2950</v>
      </c>
      <c r="I45" s="13">
        <f t="shared" si="0"/>
        <v>110912</v>
      </c>
      <c r="J45" s="43">
        <f t="shared" si="1"/>
        <v>111502</v>
      </c>
      <c r="K45" s="41">
        <f>(F45)*J45*assumptions!$A$3</f>
        <v>1541.2118233264189</v>
      </c>
      <c r="L45" s="66">
        <v>75</v>
      </c>
      <c r="M45" s="40">
        <v>75</v>
      </c>
      <c r="N45" s="43">
        <f>(F45)*J45*assumptions!$A$3*('Sorted by Region'!M45/100)</f>
        <v>1155.9088674948141</v>
      </c>
      <c r="O45" s="43">
        <f>(F45)*J45*(assumptions!$A$3)*((100-'Sorted by Region'!M45)/100)</f>
        <v>385.30295583160472</v>
      </c>
      <c r="P45" s="43"/>
      <c r="R45" s="5" t="s">
        <v>207</v>
      </c>
      <c r="S45" s="5" t="s">
        <v>440</v>
      </c>
      <c r="T45" s="43">
        <f>N$84*(1-assumptions!B$18)*assumptions!E$7</f>
        <v>12624.211191613891</v>
      </c>
      <c r="U45" s="43">
        <f>N$84*assumptions!B$18*assumptions!E$7*(1-assumptions!F$7)</f>
        <v>1514.9053429936678</v>
      </c>
      <c r="V45" s="13">
        <f>O$84*assumptions!E$7</f>
        <v>1324.6187157366187</v>
      </c>
      <c r="W45" s="13">
        <f>SUM(T45,U45,V45)</f>
        <v>15463.735250344178</v>
      </c>
      <c r="X45" s="13"/>
      <c r="Z45" s="5" t="s">
        <v>198</v>
      </c>
      <c r="AA45" s="13">
        <f>N$160*assumptions!E$9</f>
        <v>1262.2988214726629</v>
      </c>
      <c r="AB45" s="13">
        <f>O$160*assumptions!E$9</f>
        <v>33.812676320166403</v>
      </c>
      <c r="AC45" s="13">
        <f t="shared" ref="AC45:AC50" si="6">SUM(AA45,AB45)</f>
        <v>1296.1114977928294</v>
      </c>
      <c r="AD45" s="13">
        <f>AC45-W102</f>
        <v>565.50987201975306</v>
      </c>
      <c r="AE45" s="59">
        <f>AC45-W104</f>
        <v>727.08412116825389</v>
      </c>
    </row>
    <row r="46" spans="1:32" ht="12.95" customHeight="1" x14ac:dyDescent="0.2">
      <c r="A46" s="1" t="s">
        <v>219</v>
      </c>
      <c r="B46" s="1" t="s">
        <v>267</v>
      </c>
      <c r="C46" s="8" t="s">
        <v>268</v>
      </c>
      <c r="D46" s="10"/>
      <c r="E46" s="10"/>
      <c r="F46" s="18">
        <f>F203</f>
        <v>2.1265045584921122E-2</v>
      </c>
      <c r="G46" s="12">
        <v>470224</v>
      </c>
      <c r="H46" s="12">
        <v>16550</v>
      </c>
      <c r="I46" s="13">
        <f t="shared" si="0"/>
        <v>486774</v>
      </c>
      <c r="J46" s="43">
        <f t="shared" si="1"/>
        <v>490084</v>
      </c>
      <c r="K46" s="41">
        <f>(F46)*J46*assumptions!$A$3</f>
        <v>6774.0780902863144</v>
      </c>
      <c r="L46" s="66">
        <v>87</v>
      </c>
      <c r="M46" s="40">
        <v>87</v>
      </c>
      <c r="N46" s="43">
        <f>(F46)*J46*assumptions!$A$3*('Sorted by Region'!M46/100)</f>
        <v>5893.4479385490931</v>
      </c>
      <c r="O46" s="43">
        <f>(F46)*J46*(assumptions!$A$3)*((100-'Sorted by Region'!M46)/100)</f>
        <v>880.6301517372209</v>
      </c>
      <c r="P46" s="43"/>
      <c r="R46" s="5" t="s">
        <v>207</v>
      </c>
      <c r="S46" s="5" t="s">
        <v>441</v>
      </c>
      <c r="T46" s="43">
        <f>N$84*(1-assumptions!C$18)*assumptions!E$7</f>
        <v>8416.1407944092625</v>
      </c>
      <c r="U46" s="43">
        <f>N$84*assumptions!C$18*assumptions!E$7*(1-assumptions!F$7)</f>
        <v>2272.3580144905009</v>
      </c>
      <c r="V46" s="29"/>
      <c r="W46" s="13">
        <f>SUM(T46,U46,V45)</f>
        <v>12013.117524636382</v>
      </c>
      <c r="Z46" s="5" t="s">
        <v>207</v>
      </c>
      <c r="AA46" s="13">
        <f>N$84*assumptions!E$9</f>
        <v>6011.5291388637588</v>
      </c>
      <c r="AB46" s="13">
        <f>O$84*assumptions!E$9</f>
        <v>378.46249021046253</v>
      </c>
      <c r="AC46" s="13">
        <f t="shared" si="6"/>
        <v>6389.9916290742212</v>
      </c>
      <c r="AD46" s="13">
        <f>AC46-W106</f>
        <v>2308.4271893236837</v>
      </c>
      <c r="AE46" s="59">
        <f>AC46-W108</f>
        <v>3116.376705586973</v>
      </c>
    </row>
    <row r="47" spans="1:32" ht="12.95" customHeight="1" x14ac:dyDescent="0.2">
      <c r="A47" s="1" t="s">
        <v>219</v>
      </c>
      <c r="B47" s="1" t="s">
        <v>378</v>
      </c>
      <c r="C47" s="8" t="s">
        <v>379</v>
      </c>
      <c r="D47" s="10"/>
      <c r="E47" s="10"/>
      <c r="F47" s="18">
        <f>F203</f>
        <v>2.1265045584921122E-2</v>
      </c>
      <c r="G47" s="12">
        <v>1465633</v>
      </c>
      <c r="H47" s="12">
        <v>37420</v>
      </c>
      <c r="I47" s="13">
        <f t="shared" si="0"/>
        <v>1503053</v>
      </c>
      <c r="J47" s="43">
        <f t="shared" si="1"/>
        <v>1510537</v>
      </c>
      <c r="K47" s="41">
        <f>(F47)*J47*assumptions!$A$3</f>
        <v>20879.0648057615</v>
      </c>
      <c r="L47" s="66">
        <v>94</v>
      </c>
      <c r="M47" s="40">
        <v>94</v>
      </c>
      <c r="N47" s="43">
        <f>(F47)*J47*assumptions!$A$3*('Sorted by Region'!M47/100)</f>
        <v>19626.320917415807</v>
      </c>
      <c r="O47" s="43">
        <f>(F47)*J47*(assumptions!$A$3)*((100-'Sorted by Region'!M47)/100)</f>
        <v>1252.74388834569</v>
      </c>
      <c r="P47" s="43"/>
      <c r="R47" s="5" t="s">
        <v>207</v>
      </c>
      <c r="S47" s="5" t="s">
        <v>442</v>
      </c>
      <c r="T47" s="43">
        <f>N$84*(1-assumptions!D$18)*assumptions!E$7</f>
        <v>4208.0703972046294</v>
      </c>
      <c r="U47" s="43">
        <f>N$84*assumptions!D$18*assumptions!E$7*(1-assumptions!F$7)</f>
        <v>3029.8106859873355</v>
      </c>
      <c r="V47" s="29"/>
      <c r="W47" s="13">
        <f>SUM(T47,U47,V45)</f>
        <v>8562.4997989285839</v>
      </c>
      <c r="Z47" s="5" t="s">
        <v>199</v>
      </c>
      <c r="AA47" s="13">
        <f>N$172*assumptions!E$9</f>
        <v>28420.332261805412</v>
      </c>
      <c r="AB47" s="13">
        <f>O$172*assumptions!E$9</f>
        <v>7777.2628804076785</v>
      </c>
      <c r="AC47" s="13">
        <f t="shared" si="6"/>
        <v>36197.595142213089</v>
      </c>
      <c r="AD47" s="13">
        <f>AC47-W110</f>
        <v>7275.6050590221857</v>
      </c>
      <c r="AE47" s="59">
        <f>AC47-W112</f>
        <v>14733.100244519923</v>
      </c>
    </row>
    <row r="48" spans="1:32" ht="12.95" customHeight="1" x14ac:dyDescent="0.2">
      <c r="A48" s="1"/>
      <c r="B48" s="1"/>
      <c r="C48" s="8"/>
      <c r="D48" s="10"/>
      <c r="E48" s="10"/>
      <c r="F48" s="4"/>
      <c r="G48" s="12"/>
      <c r="H48" s="12"/>
      <c r="I48" s="13"/>
      <c r="J48" s="43"/>
      <c r="K48" s="42">
        <f>SUM(K2:K47)</f>
        <v>535203.47755827929</v>
      </c>
      <c r="L48" s="66"/>
      <c r="M48" s="40"/>
      <c r="N48" s="49">
        <f>SUM(N2:N47)</f>
        <v>416295.77478177106</v>
      </c>
      <c r="O48" s="49">
        <f>SUM(O2:O47)</f>
        <v>118907.70277650835</v>
      </c>
      <c r="P48" s="49"/>
      <c r="R48" s="5" t="s">
        <v>207</v>
      </c>
      <c r="S48" s="72" t="s">
        <v>434</v>
      </c>
      <c r="T48" s="62">
        <f>N$84*(1-assumptions!E$18)*assumptions!E$7</f>
        <v>3997.6668773443985</v>
      </c>
      <c r="U48" s="62">
        <f>N$84*assumptions!E$18*assumptions!E$7*(1-assumptions!F$7)</f>
        <v>3067.6833195621771</v>
      </c>
      <c r="V48" s="59"/>
      <c r="W48" s="59">
        <f>SUM(T48,U48,V45)</f>
        <v>8389.9689126431949</v>
      </c>
      <c r="Z48" s="5" t="s">
        <v>200</v>
      </c>
      <c r="AA48" s="13">
        <f>N$200*assumptions!E$9</f>
        <v>2914.175426029411</v>
      </c>
      <c r="AB48" s="13">
        <f>O$200*assumptions!E$9</f>
        <v>315.3052136680796</v>
      </c>
      <c r="AC48" s="13">
        <f t="shared" si="6"/>
        <v>3229.4806396974905</v>
      </c>
      <c r="AD48" s="13">
        <f>AC48-W114</f>
        <v>1119.0433635952936</v>
      </c>
      <c r="AE48" s="59">
        <f>AC48-W116</f>
        <v>1510.7085408536466</v>
      </c>
    </row>
    <row r="49" spans="1:31" ht="12.95" customHeight="1" x14ac:dyDescent="0.2">
      <c r="A49" s="1" t="s">
        <v>52</v>
      </c>
      <c r="B49" s="1" t="s">
        <v>415</v>
      </c>
      <c r="C49" s="8" t="s">
        <v>416</v>
      </c>
      <c r="D49" s="10">
        <v>1.4404274384677872E-3</v>
      </c>
      <c r="E49" s="10">
        <v>2.8960286745798812E-3</v>
      </c>
      <c r="F49" s="10">
        <v>1.4404274384677872E-3</v>
      </c>
      <c r="G49" s="12">
        <v>124336</v>
      </c>
      <c r="H49" s="12">
        <v>1820</v>
      </c>
      <c r="I49" s="13">
        <f t="shared" ref="I49:I83" si="7">SUM(G49+H49)</f>
        <v>126156</v>
      </c>
      <c r="J49" s="43">
        <f t="shared" ref="J49:J83" si="8">G49+H49+(0.2*H49)</f>
        <v>126520</v>
      </c>
      <c r="K49" s="41">
        <f>(F49)*J49*assumptions!$A$3</f>
        <v>118.45787168471388</v>
      </c>
      <c r="L49" s="66">
        <v>94</v>
      </c>
      <c r="M49" s="40">
        <v>94</v>
      </c>
      <c r="N49" s="43">
        <f>(F49)*J49*assumptions!$A$3*('Sorted by Region'!M49/100)</f>
        <v>111.35039938363104</v>
      </c>
      <c r="O49" s="43">
        <f>(F49)*J49*(assumptions!$A$3)*((100-'Sorted by Region'!M49)/100)</f>
        <v>7.1074723010828329</v>
      </c>
      <c r="P49" s="43"/>
      <c r="R49" s="5" t="s">
        <v>199</v>
      </c>
      <c r="S49" s="5" t="s">
        <v>440</v>
      </c>
      <c r="T49" s="43">
        <f>N$172*(1-assumptions!B$19)*assumptions!E$7</f>
        <v>79576.930333055163</v>
      </c>
      <c r="U49" s="43">
        <f>N$172*assumptions!B$19*assumptions!E$7*(1-assumptions!F$7)</f>
        <v>3580.9618649874833</v>
      </c>
      <c r="V49" s="30">
        <f>O$172*assumptions!E$7</f>
        <v>27220.420081426873</v>
      </c>
      <c r="W49" s="13">
        <f>SUM(T49,U49,V49)</f>
        <v>110378.31227946952</v>
      </c>
      <c r="X49" s="13"/>
    </row>
    <row r="50" spans="1:31" ht="12.95" customHeight="1" x14ac:dyDescent="0.2">
      <c r="A50" s="1" t="s">
        <v>52</v>
      </c>
      <c r="B50" s="1" t="s">
        <v>411</v>
      </c>
      <c r="C50" s="8" t="s">
        <v>412</v>
      </c>
      <c r="D50" s="10">
        <v>1.8349709956197466E-3</v>
      </c>
      <c r="E50" s="10">
        <v>1.5146330663016786E-3</v>
      </c>
      <c r="F50" s="10">
        <v>1.8349709956197466E-3</v>
      </c>
      <c r="G50" s="12">
        <v>251219</v>
      </c>
      <c r="H50" s="12">
        <v>2260</v>
      </c>
      <c r="I50" s="13">
        <f t="shared" si="7"/>
        <v>253479</v>
      </c>
      <c r="J50" s="43">
        <f t="shared" si="8"/>
        <v>253931</v>
      </c>
      <c r="K50" s="41">
        <f>(F50)*J50*assumptions!$A$3</f>
        <v>302.87141292766665</v>
      </c>
      <c r="L50" s="66">
        <v>95</v>
      </c>
      <c r="M50" s="40">
        <v>95</v>
      </c>
      <c r="N50" s="43">
        <f>(F50)*J50*assumptions!$A$3*('Sorted by Region'!M50/100)</f>
        <v>287.7278422812833</v>
      </c>
      <c r="O50" s="43">
        <f>(F50)*J50*(assumptions!$A$3)*((100-'Sorted by Region'!M50)/100)</f>
        <v>15.143570646383333</v>
      </c>
      <c r="P50" s="43"/>
      <c r="R50" s="5" t="s">
        <v>199</v>
      </c>
      <c r="S50" s="5" t="s">
        <v>441</v>
      </c>
      <c r="T50" s="43">
        <f>N$172*(1-assumptions!C$19)*assumptions!E$7</f>
        <v>59682.697749791361</v>
      </c>
      <c r="U50" s="43">
        <f>N$172*assumptions!C$19*assumptions!E$7*(1-assumptions!F$7)</f>
        <v>7161.9237299749666</v>
      </c>
      <c r="V50" s="29"/>
      <c r="W50" s="13">
        <f>SUM(T50,U50,V49)</f>
        <v>94065.041561193197</v>
      </c>
      <c r="Z50" s="5" t="s">
        <v>2</v>
      </c>
      <c r="AA50" s="31">
        <f>SUM(AA43,AA44,AA45,AA46,AA47,AA48)</f>
        <v>65138.210650614303</v>
      </c>
      <c r="AB50" s="31">
        <f>SUM(AB43,AB44,AB45,AB46,AB47,AB48)</f>
        <v>16490.909330193139</v>
      </c>
      <c r="AC50" s="13">
        <f t="shared" si="6"/>
        <v>81629.119980807445</v>
      </c>
      <c r="AD50" s="31">
        <f>SUM(AD43,AD44,AD45,AD46,AD47,AD48)</f>
        <v>16362.321484429986</v>
      </c>
      <c r="AE50" s="60">
        <f>SUM(AE43,AE44,AE45,AE46,AE47,AE48)</f>
        <v>33840.356813395279</v>
      </c>
    </row>
    <row r="51" spans="1:31" ht="12.95" customHeight="1" x14ac:dyDescent="0.2">
      <c r="A51" s="1" t="s">
        <v>52</v>
      </c>
      <c r="B51" s="1" t="s">
        <v>404</v>
      </c>
      <c r="C51" s="8" t="s">
        <v>405</v>
      </c>
      <c r="D51" s="10"/>
      <c r="E51" s="10">
        <v>2.7101164078952738E-3</v>
      </c>
      <c r="F51" s="10">
        <v>2.7101164078952738E-3</v>
      </c>
      <c r="G51" s="12">
        <v>2048640</v>
      </c>
      <c r="H51" s="12">
        <v>11390</v>
      </c>
      <c r="I51" s="13">
        <f t="shared" si="7"/>
        <v>2060030</v>
      </c>
      <c r="J51" s="43">
        <f t="shared" si="8"/>
        <v>2062308</v>
      </c>
      <c r="K51" s="41">
        <f>(F51)*J51*assumptions!$A$3</f>
        <v>3632.9115868068966</v>
      </c>
      <c r="L51" s="66">
        <v>94</v>
      </c>
      <c r="M51" s="40">
        <v>94</v>
      </c>
      <c r="N51" s="43">
        <f>(F51)*J51*assumptions!$A$3*('Sorted by Region'!M51/100)</f>
        <v>3414.9368915984828</v>
      </c>
      <c r="O51" s="43">
        <f>(F51)*J51*(assumptions!$A$3)*((100-'Sorted by Region'!M51)/100)</f>
        <v>217.97469520841378</v>
      </c>
      <c r="P51" s="43"/>
      <c r="R51" s="5" t="s">
        <v>199</v>
      </c>
      <c r="S51" s="5" t="s">
        <v>442</v>
      </c>
      <c r="T51" s="43">
        <f>N$172*(1-assumptions!D$19)*assumptions!E$7</f>
        <v>39788.465166527581</v>
      </c>
      <c r="U51" s="43">
        <f>N$172*assumptions!D$19*assumptions!E$7*(1-assumptions!F$7)</f>
        <v>10742.885594962449</v>
      </c>
      <c r="V51" s="29"/>
      <c r="W51" s="13">
        <f>SUM(T51,U51,V49)</f>
        <v>77751.7708429169</v>
      </c>
    </row>
    <row r="52" spans="1:31" ht="12.95" customHeight="1" x14ac:dyDescent="0.2">
      <c r="A52" s="1" t="s">
        <v>52</v>
      </c>
      <c r="B52" s="1" t="s">
        <v>134</v>
      </c>
      <c r="C52" s="8" t="s">
        <v>135</v>
      </c>
      <c r="D52" s="10"/>
      <c r="E52" s="10">
        <v>4.2238648363252373E-3</v>
      </c>
      <c r="F52" s="10">
        <v>4.2238648363252373E-3</v>
      </c>
      <c r="G52" s="19">
        <v>1140</v>
      </c>
      <c r="H52" s="12">
        <v>10</v>
      </c>
      <c r="I52" s="13">
        <f t="shared" si="7"/>
        <v>1150</v>
      </c>
      <c r="J52" s="43">
        <f t="shared" si="8"/>
        <v>1152</v>
      </c>
      <c r="K52" s="41">
        <f>(F52)*J52*assumptions!$A$3</f>
        <v>3.162829989440338</v>
      </c>
      <c r="L52" s="66">
        <v>100</v>
      </c>
      <c r="M52" s="40">
        <v>100</v>
      </c>
      <c r="N52" s="43">
        <f>(F52)*J52*assumptions!$A$3*('Sorted by Region'!M52/100)</f>
        <v>3.162829989440338</v>
      </c>
      <c r="O52" s="43">
        <f>(F52)*J52*(assumptions!$A$3)*((100-'Sorted by Region'!M52)/100)</f>
        <v>0</v>
      </c>
      <c r="P52" s="43"/>
      <c r="R52" s="5" t="s">
        <v>199</v>
      </c>
      <c r="S52" s="72" t="s">
        <v>434</v>
      </c>
      <c r="T52" s="62">
        <f>N$172*(1-assumptions!E$19)*assumptions!E$7</f>
        <v>18899.520954100593</v>
      </c>
      <c r="U52" s="62">
        <f>N$172*assumptions!E$19*assumptions!E$7*(1-assumptions!F$7)</f>
        <v>14502.895553199309</v>
      </c>
      <c r="V52" s="59"/>
      <c r="W52" s="59">
        <f>SUM(T52,U52,V49)</f>
        <v>60622.836588726772</v>
      </c>
    </row>
    <row r="53" spans="1:31" ht="12.95" customHeight="1" x14ac:dyDescent="0.2">
      <c r="A53" s="1" t="s">
        <v>52</v>
      </c>
      <c r="B53" s="1" t="s">
        <v>291</v>
      </c>
      <c r="C53" s="8" t="s">
        <v>292</v>
      </c>
      <c r="D53" s="10">
        <v>5.4240412979351029E-3</v>
      </c>
      <c r="E53" s="10">
        <v>3.3438844663685823E-3</v>
      </c>
      <c r="F53" s="10">
        <v>5.4240412979351029E-3</v>
      </c>
      <c r="G53" s="12">
        <v>608951</v>
      </c>
      <c r="H53" s="12">
        <v>6390</v>
      </c>
      <c r="I53" s="13">
        <f t="shared" si="7"/>
        <v>615341</v>
      </c>
      <c r="J53" s="43">
        <f t="shared" si="8"/>
        <v>616619</v>
      </c>
      <c r="K53" s="41">
        <f>(F53)*J53*assumptions!$A$3</f>
        <v>2173.9684987094397</v>
      </c>
      <c r="L53" s="66">
        <v>91</v>
      </c>
      <c r="M53" s="40">
        <v>91</v>
      </c>
      <c r="N53" s="43">
        <f>(F53)*J53*assumptions!$A$3*('Sorted by Region'!M53/100)</f>
        <v>1978.3113338255903</v>
      </c>
      <c r="O53" s="43">
        <f>(F53)*J53*(assumptions!$A$3)*((100-'Sorted by Region'!M53)/100)</f>
        <v>195.65716488384956</v>
      </c>
      <c r="P53" s="43"/>
      <c r="R53" s="5" t="s">
        <v>200</v>
      </c>
      <c r="S53" s="5" t="s">
        <v>440</v>
      </c>
      <c r="T53" s="43">
        <f>N$200*(1-assumptions!B$20)*assumptions!E$7</f>
        <v>6119.7683946617626</v>
      </c>
      <c r="U53" s="43">
        <f>N$200*assumptions!B$20*assumptions!E$7*(1-assumptions!F$7)</f>
        <v>734.37220735941185</v>
      </c>
      <c r="V53" s="13">
        <f>O$200*assumptions!E$7</f>
        <v>1103.5682478382785</v>
      </c>
      <c r="W53" s="13">
        <f>SUM(T53,U53,V53)</f>
        <v>7957.708849859453</v>
      </c>
      <c r="X53" s="13"/>
    </row>
    <row r="54" spans="1:31" ht="12.95" customHeight="1" x14ac:dyDescent="0.2">
      <c r="A54" s="1" t="s">
        <v>52</v>
      </c>
      <c r="B54" s="1" t="s">
        <v>413</v>
      </c>
      <c r="C54" s="8" t="s">
        <v>414</v>
      </c>
      <c r="D54" s="10">
        <v>5.4513387846721181E-3</v>
      </c>
      <c r="E54" s="10">
        <v>3.5999999999999999E-3</v>
      </c>
      <c r="F54" s="10">
        <v>5.4513387846721181E-3</v>
      </c>
      <c r="G54" s="12">
        <v>224178</v>
      </c>
      <c r="H54" s="12">
        <v>2700</v>
      </c>
      <c r="I54" s="13">
        <f t="shared" si="7"/>
        <v>226878</v>
      </c>
      <c r="J54" s="43">
        <f t="shared" si="8"/>
        <v>227418</v>
      </c>
      <c r="K54" s="41">
        <f>(F54)*J54*assumptions!$A$3</f>
        <v>805.82616642616642</v>
      </c>
      <c r="L54" s="66">
        <v>99</v>
      </c>
      <c r="M54" s="40">
        <v>99</v>
      </c>
      <c r="N54" s="43">
        <f>(F54)*J54*assumptions!$A$3*('Sorted by Region'!M54/100)</f>
        <v>797.76790476190479</v>
      </c>
      <c r="O54" s="43">
        <f>(F54)*J54*(assumptions!$A$3)*((100-'Sorted by Region'!M54)/100)</f>
        <v>8.0582616642616642</v>
      </c>
      <c r="P54" s="43"/>
      <c r="R54" s="5" t="s">
        <v>200</v>
      </c>
      <c r="S54" s="5" t="s">
        <v>441</v>
      </c>
      <c r="T54" s="43">
        <f>N$200*(1-assumptions!C$20)*assumptions!E$7</f>
        <v>4079.845596441176</v>
      </c>
      <c r="U54" s="43">
        <f>N$200*assumptions!C$20*assumptions!E$7*(1-assumptions!F$7)</f>
        <v>1101.5583110391176</v>
      </c>
      <c r="V54" s="29"/>
      <c r="W54" s="13">
        <f>SUM(T54,U54,V53)</f>
        <v>6284.9721553185718</v>
      </c>
    </row>
    <row r="55" spans="1:31" ht="12.95" customHeight="1" x14ac:dyDescent="0.2">
      <c r="A55" s="1" t="s">
        <v>52</v>
      </c>
      <c r="B55" s="1" t="s">
        <v>279</v>
      </c>
      <c r="C55" s="8" t="s">
        <v>280</v>
      </c>
      <c r="D55" s="10">
        <v>5.5695117913964675E-3</v>
      </c>
      <c r="E55" s="10">
        <v>4.497224369334551E-3</v>
      </c>
      <c r="F55" s="10">
        <v>5.5695117913964675E-3</v>
      </c>
      <c r="G55" s="12">
        <v>139970</v>
      </c>
      <c r="H55" s="12">
        <v>2060</v>
      </c>
      <c r="I55" s="13">
        <f t="shared" si="7"/>
        <v>142030</v>
      </c>
      <c r="J55" s="43">
        <f t="shared" si="8"/>
        <v>142442</v>
      </c>
      <c r="K55" s="41">
        <f>(F55)*J55*assumptions!$A$3</f>
        <v>515.66605908356223</v>
      </c>
      <c r="L55" s="66">
        <v>90</v>
      </c>
      <c r="M55" s="40">
        <v>90</v>
      </c>
      <c r="N55" s="43">
        <f>(F55)*J55*assumptions!$A$3*('Sorted by Region'!M55/100)</f>
        <v>464.09945317520601</v>
      </c>
      <c r="O55" s="43">
        <f>(F55)*J55*(assumptions!$A$3)*((100-'Sorted by Region'!M55)/100)</f>
        <v>51.566605908356223</v>
      </c>
      <c r="P55" s="43"/>
      <c r="R55" s="5" t="s">
        <v>200</v>
      </c>
      <c r="S55" s="5" t="s">
        <v>442</v>
      </c>
      <c r="T55" s="43">
        <f>N$200*(1-assumptions!D$20)*assumptions!E$7</f>
        <v>2039.9227982205871</v>
      </c>
      <c r="U55" s="43">
        <f>N$200*assumptions!D$20*assumptions!E$7*(1-assumptions!F$7)</f>
        <v>1468.7444147188237</v>
      </c>
      <c r="V55" s="29"/>
      <c r="W55" s="13">
        <f>SUM(T55,U55,V53)</f>
        <v>4612.2354607776897</v>
      </c>
    </row>
    <row r="56" spans="1:31" ht="12.95" customHeight="1" x14ac:dyDescent="0.2">
      <c r="A56" s="1" t="s">
        <v>52</v>
      </c>
      <c r="B56" s="1" t="s">
        <v>417</v>
      </c>
      <c r="C56" s="8" t="s">
        <v>418</v>
      </c>
      <c r="D56" s="10">
        <v>6.6343454963000764E-3</v>
      </c>
      <c r="E56" s="10">
        <v>1.7257496224922701E-3</v>
      </c>
      <c r="F56" s="10">
        <v>6.6343454963000764E-3</v>
      </c>
      <c r="G56" s="12">
        <v>13622</v>
      </c>
      <c r="H56" s="12">
        <v>230</v>
      </c>
      <c r="I56" s="13">
        <f t="shared" si="7"/>
        <v>13852</v>
      </c>
      <c r="J56" s="43">
        <f t="shared" si="8"/>
        <v>13898</v>
      </c>
      <c r="K56" s="41">
        <f>(F56)*J56*assumptions!$A$3</f>
        <v>59.932686909926005</v>
      </c>
      <c r="L56" s="66">
        <v>81</v>
      </c>
      <c r="M56" s="40">
        <v>81</v>
      </c>
      <c r="N56" s="43">
        <f>(F56)*J56*assumptions!$A$3*('Sorted by Region'!M56/100)</f>
        <v>48.545476397040069</v>
      </c>
      <c r="O56" s="43">
        <f>(F56)*J56*(assumptions!$A$3)*((100-'Sorted by Region'!M56)/100)</f>
        <v>11.387210512885941</v>
      </c>
      <c r="P56" s="43"/>
      <c r="R56" s="5" t="s">
        <v>200</v>
      </c>
      <c r="S56" s="72" t="s">
        <v>434</v>
      </c>
      <c r="T56" s="62">
        <f>N$200*(1-assumptions!E$20)*assumptions!E$7</f>
        <v>1937.9266583095575</v>
      </c>
      <c r="U56" s="62">
        <f>N$200*assumptions!E$20*assumptions!E$7*(1-assumptions!F$7)</f>
        <v>1487.103719902809</v>
      </c>
      <c r="V56" s="59"/>
      <c r="W56" s="59">
        <f>SUM(T56,U56,V53)</f>
        <v>4528.5986260506452</v>
      </c>
    </row>
    <row r="57" spans="1:31" ht="12.95" customHeight="1" x14ac:dyDescent="0.2">
      <c r="A57" s="1" t="s">
        <v>52</v>
      </c>
      <c r="B57" s="1" t="s">
        <v>112</v>
      </c>
      <c r="C57" s="8" t="s">
        <v>113</v>
      </c>
      <c r="D57" s="10"/>
      <c r="E57" s="10">
        <v>7.1684587813620072E-3</v>
      </c>
      <c r="F57" s="10">
        <v>7.1684587813620072E-3</v>
      </c>
      <c r="G57" s="19">
        <f>87844*0.01631</f>
        <v>1432.7356400000001</v>
      </c>
      <c r="H57" s="12">
        <v>10</v>
      </c>
      <c r="I57" s="13">
        <f t="shared" si="7"/>
        <v>1442.7356400000001</v>
      </c>
      <c r="J57" s="43">
        <f t="shared" si="8"/>
        <v>1444.7356400000001</v>
      </c>
      <c r="K57" s="41">
        <f>(F57)*J57*assumptions!$A$3</f>
        <v>6.7317431254480287</v>
      </c>
      <c r="L57" s="66">
        <v>100</v>
      </c>
      <c r="M57" s="40">
        <v>100</v>
      </c>
      <c r="N57" s="43">
        <f>(F57)*J57*assumptions!$A$3*('Sorted by Region'!M57/100)</f>
        <v>6.7317431254480287</v>
      </c>
      <c r="O57" s="43">
        <f>(F57)*J57*(assumptions!$A$3)*((100-'Sorted by Region'!M57)/100)</f>
        <v>0</v>
      </c>
      <c r="P57" s="43"/>
      <c r="T57" s="43"/>
      <c r="U57" s="43"/>
      <c r="V57" s="20"/>
      <c r="W57" s="13"/>
      <c r="Y57" s="5" t="s">
        <v>1</v>
      </c>
      <c r="Z57" s="5" t="s">
        <v>195</v>
      </c>
      <c r="AA57" s="13">
        <f>N$48*assumptions!E$10</f>
        <v>66607.323965083371</v>
      </c>
      <c r="AB57" s="13">
        <f>O$48*assumptions!E$10</f>
        <v>19025.232444241337</v>
      </c>
      <c r="AC57" s="13">
        <f>SUM(AA57,AB57)</f>
        <v>85632.556409324709</v>
      </c>
      <c r="AD57" s="13">
        <f>AC57-W124</f>
        <v>19382.731273839265</v>
      </c>
      <c r="AE57" s="59">
        <f>AC57-W126</f>
        <v>52333.374439366002</v>
      </c>
    </row>
    <row r="58" spans="1:31" ht="12.95" customHeight="1" x14ac:dyDescent="0.2">
      <c r="A58" s="1" t="s">
        <v>52</v>
      </c>
      <c r="B58" s="1" t="s">
        <v>128</v>
      </c>
      <c r="C58" s="8" t="s">
        <v>129</v>
      </c>
      <c r="D58" s="10"/>
      <c r="E58" s="10">
        <v>7.7242988539272727E-3</v>
      </c>
      <c r="F58" s="10">
        <v>7.7242988539272727E-3</v>
      </c>
      <c r="G58" s="12">
        <v>117508</v>
      </c>
      <c r="H58" s="12">
        <v>910</v>
      </c>
      <c r="I58" s="13">
        <f t="shared" si="7"/>
        <v>118418</v>
      </c>
      <c r="J58" s="43">
        <f t="shared" si="8"/>
        <v>118600</v>
      </c>
      <c r="K58" s="41">
        <f>(F58)*J58*assumptions!$A$3</f>
        <v>595.46619864925344</v>
      </c>
      <c r="L58" s="66">
        <v>100</v>
      </c>
      <c r="M58" s="40">
        <v>100</v>
      </c>
      <c r="N58" s="43">
        <f>(F58)*J58*assumptions!$A$3*('Sorted by Region'!M58/100)</f>
        <v>595.46619864925344</v>
      </c>
      <c r="O58" s="43">
        <f>(F58)*J58*(assumptions!$A$3)*((100-'Sorted by Region'!M58)/100)</f>
        <v>0</v>
      </c>
      <c r="P58" s="43"/>
      <c r="R58" s="5" t="s">
        <v>2</v>
      </c>
      <c r="S58" s="5" t="s">
        <v>208</v>
      </c>
      <c r="T58" s="43">
        <f>SUM(T33,T37,T41,T45,T49,T53)</f>
        <v>184099.0391146036</v>
      </c>
      <c r="U58" s="43">
        <f>SUM(U33,U37,U41,U45,U49,U53)</f>
        <v>7899.2456692583646</v>
      </c>
      <c r="V58" s="13">
        <f>SUM(V33,V37,V41,V45,V49,V53)</f>
        <v>57718.182655675999</v>
      </c>
      <c r="W58" s="13">
        <f>SUM(W33,W37,W41,W45,W49,W53)</f>
        <v>249716.46743953796</v>
      </c>
      <c r="Z58" s="5" t="s">
        <v>197</v>
      </c>
      <c r="AA58" s="13">
        <f>N$106*assumptions!E$10</f>
        <v>4139.0093747647816</v>
      </c>
      <c r="AB58" s="13">
        <f>O$106*assumptions!E$10</f>
        <v>2270.943741323345</v>
      </c>
      <c r="AC58" s="13">
        <f t="shared" ref="AC58:AC64" si="9">SUM(AA58,AB58)</f>
        <v>6409.953116088127</v>
      </c>
      <c r="AD58" s="13">
        <f>AC58-W128</f>
        <v>1204.4517280565524</v>
      </c>
      <c r="AE58" s="59">
        <f>AC58-W130</f>
        <v>3252.0196657526894</v>
      </c>
    </row>
    <row r="59" spans="1:31" ht="12.95" customHeight="1" x14ac:dyDescent="0.2">
      <c r="A59" s="1" t="s">
        <v>52</v>
      </c>
      <c r="B59" s="1" t="s">
        <v>400</v>
      </c>
      <c r="C59" s="8" t="s">
        <v>401</v>
      </c>
      <c r="D59" s="10">
        <v>8.4294776278257908E-3</v>
      </c>
      <c r="E59" s="10">
        <v>5.4572620235712188E-3</v>
      </c>
      <c r="F59" s="10">
        <v>8.4294776278257908E-3</v>
      </c>
      <c r="G59" s="12">
        <v>452662</v>
      </c>
      <c r="H59" s="12">
        <v>4530</v>
      </c>
      <c r="I59" s="13">
        <f t="shared" si="7"/>
        <v>457192</v>
      </c>
      <c r="J59" s="43">
        <f t="shared" si="8"/>
        <v>458098</v>
      </c>
      <c r="K59" s="41">
        <f>(F59)*J59*assumptions!$A$3</f>
        <v>2509.9924475286307</v>
      </c>
      <c r="L59" s="66">
        <v>84</v>
      </c>
      <c r="M59" s="40">
        <v>84</v>
      </c>
      <c r="N59" s="43">
        <f>(F59)*J59*assumptions!$A$3*('Sorted by Region'!M59/100)</f>
        <v>2108.3936559240497</v>
      </c>
      <c r="O59" s="43">
        <f>(F59)*J59*(assumptions!$A$3)*((100-'Sorted by Region'!M59)/100)</f>
        <v>401.59879160458092</v>
      </c>
      <c r="P59" s="43"/>
      <c r="S59" s="5" t="s">
        <v>209</v>
      </c>
      <c r="T59" s="43">
        <f t="shared" ref="T59:U61" si="10">SUM(T34,T38,T42,T46,T50,T54)</f>
        <v>138502.29165917358</v>
      </c>
      <c r="U59" s="43">
        <f t="shared" si="10"/>
        <v>16106.660211235769</v>
      </c>
      <c r="V59" s="29"/>
      <c r="W59" s="38">
        <f>SUM(W34,W38,W42,W46,W50,W54)</f>
        <v>212327.13452608531</v>
      </c>
      <c r="Z59" s="5" t="s">
        <v>198</v>
      </c>
      <c r="AA59" s="13">
        <f>N$160*assumptions!E$10</f>
        <v>3366.130190593768</v>
      </c>
      <c r="AB59" s="13">
        <f>O$160*assumptions!E$10</f>
        <v>90.16713685377708</v>
      </c>
      <c r="AC59" s="13">
        <f t="shared" si="9"/>
        <v>3456.2973274475453</v>
      </c>
      <c r="AD59" s="13">
        <f>AC59-W132</f>
        <v>2285.6023994131683</v>
      </c>
      <c r="AE59" s="59">
        <f>AC59-W134</f>
        <v>2938.6316563883597</v>
      </c>
    </row>
    <row r="60" spans="1:31" ht="12.95" customHeight="1" x14ac:dyDescent="0.2">
      <c r="A60" s="1" t="s">
        <v>52</v>
      </c>
      <c r="B60" s="1" t="s">
        <v>408</v>
      </c>
      <c r="C60" s="8" t="s">
        <v>409</v>
      </c>
      <c r="D60" s="10">
        <v>8.8895820336868363E-3</v>
      </c>
      <c r="E60" s="10"/>
      <c r="F60" s="10">
        <v>8.8895820336868363E-3</v>
      </c>
      <c r="G60" s="12">
        <v>7435</v>
      </c>
      <c r="H60" s="12">
        <v>90</v>
      </c>
      <c r="I60" s="13">
        <f t="shared" si="7"/>
        <v>7525</v>
      </c>
      <c r="J60" s="43">
        <f t="shared" si="8"/>
        <v>7543</v>
      </c>
      <c r="K60" s="41">
        <f>(F60)*J60*assumptions!$A$3</f>
        <v>43.585176232064875</v>
      </c>
      <c r="L60" s="66">
        <v>94</v>
      </c>
      <c r="M60" s="40">
        <v>94</v>
      </c>
      <c r="N60" s="43">
        <f>(F60)*J60*assumptions!$A$3*('Sorted by Region'!M60/100)</f>
        <v>40.970065658140982</v>
      </c>
      <c r="O60" s="43">
        <f>(F60)*J60*(assumptions!$A$3)*((100-'Sorted by Region'!M60)/100)</f>
        <v>2.6151105739238925</v>
      </c>
      <c r="P60" s="43"/>
      <c r="S60" s="5" t="s">
        <v>210</v>
      </c>
      <c r="T60" s="43">
        <f t="shared" si="10"/>
        <v>92905.544203743586</v>
      </c>
      <c r="U60" s="43">
        <f t="shared" si="10"/>
        <v>24314.074753213175</v>
      </c>
      <c r="V60" s="29"/>
      <c r="W60" s="13">
        <f>SUM(W35,W39,W43,W47,W51,W55)</f>
        <v>174937.80161263273</v>
      </c>
      <c r="Z60" s="5" t="s">
        <v>207</v>
      </c>
      <c r="AA60" s="13">
        <f>N$84*assumptions!E$10</f>
        <v>16030.744370303357</v>
      </c>
      <c r="AB60" s="13">
        <f>O$84*assumptions!E$10</f>
        <v>1009.2333072279001</v>
      </c>
      <c r="AC60" s="13">
        <f t="shared" si="9"/>
        <v>17039.977677531257</v>
      </c>
      <c r="AD60" s="13">
        <f>AC60-W136</f>
        <v>9329.8932235165521</v>
      </c>
      <c r="AE60" s="59">
        <f>AC60-W138</f>
        <v>12595.355851747347</v>
      </c>
    </row>
    <row r="61" spans="1:31" ht="12.95" customHeight="1" x14ac:dyDescent="0.2">
      <c r="A61" s="1" t="s">
        <v>52</v>
      </c>
      <c r="B61" s="1" t="s">
        <v>92</v>
      </c>
      <c r="C61" s="8" t="s">
        <v>93</v>
      </c>
      <c r="D61" s="10"/>
      <c r="E61" s="10">
        <v>1.1395284627019759E-2</v>
      </c>
      <c r="F61" s="10">
        <v>1.1395284627019759E-2</v>
      </c>
      <c r="G61" s="12">
        <v>918469</v>
      </c>
      <c r="H61" s="12">
        <v>8110</v>
      </c>
      <c r="I61" s="13">
        <f t="shared" si="7"/>
        <v>926579</v>
      </c>
      <c r="J61" s="43">
        <f t="shared" si="8"/>
        <v>928201</v>
      </c>
      <c r="K61" s="41">
        <f>(F61)*J61*assumptions!$A$3</f>
        <v>6875.1244809548398</v>
      </c>
      <c r="L61" s="66">
        <v>94</v>
      </c>
      <c r="M61" s="40">
        <v>94</v>
      </c>
      <c r="N61" s="43">
        <f>(F61)*J61*assumptions!$A$3*('Sorted by Region'!M61/100)</f>
        <v>6462.6170120975494</v>
      </c>
      <c r="O61" s="43">
        <f>(F61)*J61*(assumptions!$A$3)*((100-'Sorted by Region'!M61)/100)</f>
        <v>412.50746885729035</v>
      </c>
      <c r="P61" s="43"/>
      <c r="S61" s="72" t="s">
        <v>434</v>
      </c>
      <c r="T61" s="62">
        <f t="shared" si="10"/>
        <v>42919.285953894607</v>
      </c>
      <c r="U61" s="62">
        <f t="shared" si="10"/>
        <v>33311.601238185991</v>
      </c>
      <c r="V61" s="59"/>
      <c r="W61" s="59">
        <f>SUM(W36,W40,W44,W48,W52,W56)</f>
        <v>133949.06984775659</v>
      </c>
      <c r="Z61" s="5" t="s">
        <v>199</v>
      </c>
      <c r="AA61" s="13">
        <f>N$172*assumptions!E$10</f>
        <v>75787.552698147774</v>
      </c>
      <c r="AB61" s="13">
        <f>O$172*assumptions!E$10</f>
        <v>20739.367681087144</v>
      </c>
      <c r="AC61" s="13">
        <f t="shared" si="9"/>
        <v>96526.920379234914</v>
      </c>
      <c r="AD61" s="13">
        <f>AC61-W140</f>
        <v>29405.570446881335</v>
      </c>
      <c r="AE61" s="59">
        <f>AC61-W142</f>
        <v>59546.280154934706</v>
      </c>
    </row>
    <row r="62" spans="1:31" ht="12.95" customHeight="1" x14ac:dyDescent="0.2">
      <c r="A62" s="1" t="s">
        <v>52</v>
      </c>
      <c r="B62" s="1" t="s">
        <v>402</v>
      </c>
      <c r="C62" s="8" t="s">
        <v>403</v>
      </c>
      <c r="D62" s="10">
        <v>1.2482127388667982E-2</v>
      </c>
      <c r="E62" s="10">
        <v>7.128470886419697E-4</v>
      </c>
      <c r="F62" s="10">
        <v>1.2482127388667982E-2</v>
      </c>
      <c r="G62" s="12">
        <v>201543</v>
      </c>
      <c r="H62" s="12">
        <v>3600</v>
      </c>
      <c r="I62" s="13">
        <f t="shared" si="7"/>
        <v>205143</v>
      </c>
      <c r="J62" s="43">
        <f t="shared" si="8"/>
        <v>205863</v>
      </c>
      <c r="K62" s="41">
        <f>(F62)*J62*assumptions!$A$3</f>
        <v>1670.245323898682</v>
      </c>
      <c r="L62" s="66">
        <v>92</v>
      </c>
      <c r="M62" s="40">
        <v>92</v>
      </c>
      <c r="N62" s="43">
        <f>(F62)*J62*assumptions!$A$3*('Sorted by Region'!M62/100)</f>
        <v>1536.6256979867876</v>
      </c>
      <c r="O62" s="43">
        <f>(F62)*J62*(assumptions!$A$3)*((100-'Sorted by Region'!M62)/100)</f>
        <v>133.61962591189456</v>
      </c>
      <c r="P62" s="43"/>
      <c r="Z62" s="5" t="s">
        <v>200</v>
      </c>
      <c r="AA62" s="13">
        <f>N$200*assumptions!E$10</f>
        <v>7771.1344694117633</v>
      </c>
      <c r="AB62" s="13">
        <f>O$200*assumptions!E$10</f>
        <v>840.81390311487894</v>
      </c>
      <c r="AC62" s="13">
        <f t="shared" si="9"/>
        <v>8611.9483725266418</v>
      </c>
      <c r="AD62" s="13">
        <f>AC62-W144</f>
        <v>4522.8002611976463</v>
      </c>
      <c r="AE62" s="59">
        <f>AC62-W146</f>
        <v>6105.7803526168227</v>
      </c>
    </row>
    <row r="63" spans="1:31" ht="12.95" customHeight="1" x14ac:dyDescent="0.2">
      <c r="A63" s="1" t="s">
        <v>52</v>
      </c>
      <c r="B63" s="1" t="s">
        <v>53</v>
      </c>
      <c r="C63" s="8" t="s">
        <v>54</v>
      </c>
      <c r="D63" s="10">
        <v>1.4001368046817602E-2</v>
      </c>
      <c r="E63" s="10">
        <v>1.4001368046817602E-2</v>
      </c>
      <c r="F63" s="10">
        <v>1.4001368046817602E-2</v>
      </c>
      <c r="G63" s="12">
        <v>689252</v>
      </c>
      <c r="H63" s="12">
        <v>3400</v>
      </c>
      <c r="I63" s="13">
        <f t="shared" si="7"/>
        <v>692652</v>
      </c>
      <c r="J63" s="43">
        <f t="shared" si="8"/>
        <v>693332</v>
      </c>
      <c r="K63" s="41">
        <f>(F63)*J63*assumptions!$A$3</f>
        <v>6309.9377319134928</v>
      </c>
      <c r="L63" s="66">
        <v>99</v>
      </c>
      <c r="M63" s="40">
        <v>99</v>
      </c>
      <c r="N63" s="43">
        <f>(F63)*J63*assumptions!$A$3*('Sorted by Region'!M63/100)</f>
        <v>6246.838354594358</v>
      </c>
      <c r="O63" s="43">
        <f>(F63)*J63*(assumptions!$A$3)*((100-'Sorted by Region'!M63)/100)</f>
        <v>63.099377319134931</v>
      </c>
      <c r="P63" s="43"/>
      <c r="Q63" s="5" t="s">
        <v>445</v>
      </c>
      <c r="R63" s="5" t="s">
        <v>195</v>
      </c>
      <c r="S63" s="5" t="s">
        <v>208</v>
      </c>
      <c r="T63" s="43">
        <f>N$48*(1-assumptions!B$15)*assumptions!E$8</f>
        <v>33719.957757323456</v>
      </c>
      <c r="U63" s="43">
        <f>N$48*(assumptions!B$15)*assumptions!E$8*(1-assumptions!F$8)</f>
        <v>749.33239460718778</v>
      </c>
      <c r="V63" s="13">
        <f>O$48*assumptions!E$8</f>
        <v>10701.693249885751</v>
      </c>
      <c r="W63" s="13">
        <f>SUM(T63,U63,V63)</f>
        <v>45170.983401816397</v>
      </c>
      <c r="X63" s="13"/>
    </row>
    <row r="64" spans="1:31" ht="12.95" customHeight="1" x14ac:dyDescent="0.2">
      <c r="A64" s="1" t="s">
        <v>52</v>
      </c>
      <c r="B64" s="1" t="s">
        <v>406</v>
      </c>
      <c r="C64" s="8" t="s">
        <v>407</v>
      </c>
      <c r="D64" s="10">
        <v>1.4311780134564944E-2</v>
      </c>
      <c r="E64" s="10">
        <v>1.6672044745616867E-2</v>
      </c>
      <c r="F64" s="10">
        <v>1.4311780134564944E-2</v>
      </c>
      <c r="G64" s="12">
        <v>19783</v>
      </c>
      <c r="H64" s="12">
        <v>170</v>
      </c>
      <c r="I64" s="13">
        <f t="shared" si="7"/>
        <v>19953</v>
      </c>
      <c r="J64" s="43">
        <f t="shared" si="8"/>
        <v>19987</v>
      </c>
      <c r="K64" s="41">
        <f>(F64)*J64*assumptions!$A$3</f>
        <v>185.9322072072072</v>
      </c>
      <c r="L64" s="66">
        <v>96</v>
      </c>
      <c r="M64" s="40">
        <v>96</v>
      </c>
      <c r="N64" s="43">
        <f>(F64)*J64*assumptions!$A$3*('Sorted by Region'!M64/100)</f>
        <v>178.4949189189189</v>
      </c>
      <c r="O64" s="43">
        <f>(F64)*J64*(assumptions!$A$3)*((100-'Sorted by Region'!M64)/100)</f>
        <v>7.437288288288288</v>
      </c>
      <c r="P64" s="43"/>
      <c r="R64" s="5" t="s">
        <v>195</v>
      </c>
      <c r="S64" s="5" t="s">
        <v>209</v>
      </c>
      <c r="T64" s="43">
        <f>N$48*(1-assumptions!C$15)*assumptions!E$8</f>
        <v>26226.633811251577</v>
      </c>
      <c r="U64" s="43">
        <f>N$48*(assumptions!C$15)*assumptions!E$8*(1-assumptions!F$8)</f>
        <v>2247.9971838215629</v>
      </c>
      <c r="V64" s="29"/>
      <c r="W64" s="13">
        <f>SUM(T64,U64,V63)</f>
        <v>39176.324244958894</v>
      </c>
      <c r="Z64" s="5" t="s">
        <v>2</v>
      </c>
      <c r="AA64" s="31">
        <f>SUM(AA57,AA58,AA59,AA60,AA61,AA62)</f>
        <v>173701.89506830482</v>
      </c>
      <c r="AB64" s="31">
        <f>SUM(AB57,AB58,AB59,AB60,AB61,AB62)</f>
        <v>43975.758213848385</v>
      </c>
      <c r="AC64" s="13">
        <f t="shared" si="9"/>
        <v>217677.65328215319</v>
      </c>
      <c r="AD64" s="31">
        <f>SUM(AD57,AD58,AD59,AD60,AD61,AD62)</f>
        <v>66131.049332904513</v>
      </c>
      <c r="AE64" s="60">
        <f>SUM(AE57,AE58,AE59,AE60,AE61,AE62)</f>
        <v>136771.44212080594</v>
      </c>
    </row>
    <row r="65" spans="1:24" ht="12.95" customHeight="1" x14ac:dyDescent="0.2">
      <c r="A65" s="1" t="s">
        <v>52</v>
      </c>
      <c r="B65" s="1" t="s">
        <v>392</v>
      </c>
      <c r="C65" s="8" t="s">
        <v>393</v>
      </c>
      <c r="D65" s="10">
        <v>1.5976212075395624E-2</v>
      </c>
      <c r="E65" s="10">
        <v>1.5976212075395624E-2</v>
      </c>
      <c r="F65" s="10">
        <v>1.5976212075395624E-2</v>
      </c>
      <c r="G65" s="12">
        <v>3104862</v>
      </c>
      <c r="H65" s="12">
        <v>29950</v>
      </c>
      <c r="I65" s="13">
        <f t="shared" si="7"/>
        <v>3134812</v>
      </c>
      <c r="J65" s="43">
        <f t="shared" si="8"/>
        <v>3140802</v>
      </c>
      <c r="K65" s="41">
        <f>(F65)*J65*assumptions!$A$3</f>
        <v>32615.777245237372</v>
      </c>
      <c r="L65" s="66">
        <v>98</v>
      </c>
      <c r="M65" s="40">
        <v>98</v>
      </c>
      <c r="N65" s="43">
        <f>(F65)*J65*assumptions!$A$3*('Sorted by Region'!M65/100)</f>
        <v>31963.461700332624</v>
      </c>
      <c r="O65" s="43">
        <f>(F65)*J65*(assumptions!$A$3)*((100-'Sorted by Region'!M65)/100)</f>
        <v>652.31554490474741</v>
      </c>
      <c r="P65" s="43"/>
      <c r="R65" s="5" t="s">
        <v>195</v>
      </c>
      <c r="S65" s="5" t="s">
        <v>210</v>
      </c>
      <c r="T65" s="43">
        <f>N$48*(1-assumptions!D$15)*assumptions!E$8</f>
        <v>18733.309865179697</v>
      </c>
      <c r="U65" s="43">
        <f>N$48*(assumptions!D$15)*assumptions!E$8*(1-assumptions!F$8)</f>
        <v>3746.6619730359384</v>
      </c>
      <c r="V65" s="29"/>
      <c r="W65" s="13">
        <f>SUM(T65,U65,V63)</f>
        <v>33181.665088101385</v>
      </c>
    </row>
    <row r="66" spans="1:24" ht="12.95" customHeight="1" x14ac:dyDescent="0.2">
      <c r="A66" s="1" t="s">
        <v>52</v>
      </c>
      <c r="B66" s="1" t="s">
        <v>142</v>
      </c>
      <c r="C66" s="8" t="s">
        <v>143</v>
      </c>
      <c r="D66" s="10">
        <v>1.6141787226124575E-2</v>
      </c>
      <c r="E66" s="10"/>
      <c r="F66" s="10">
        <v>1.6141787226124575E-2</v>
      </c>
      <c r="G66" s="12">
        <v>52400</v>
      </c>
      <c r="H66" s="12">
        <v>660</v>
      </c>
      <c r="I66" s="13">
        <f t="shared" si="7"/>
        <v>53060</v>
      </c>
      <c r="J66" s="43">
        <f t="shared" si="8"/>
        <v>53192</v>
      </c>
      <c r="K66" s="41">
        <f>(F66)*J66*assumptions!$A$3</f>
        <v>558.09906498581199</v>
      </c>
      <c r="L66" s="66">
        <v>91</v>
      </c>
      <c r="M66" s="40">
        <v>91</v>
      </c>
      <c r="N66" s="43">
        <f>(F66)*J66*assumptions!$A$3*('Sorted by Region'!M66/100)</f>
        <v>507.87014913708896</v>
      </c>
      <c r="O66" s="43">
        <f>(F66)*J66*(assumptions!$A$3)*((100-'Sorted by Region'!M66)/100)</f>
        <v>50.228915848723076</v>
      </c>
      <c r="P66" s="43"/>
      <c r="R66" s="5" t="s">
        <v>195</v>
      </c>
      <c r="S66" s="72" t="s">
        <v>434</v>
      </c>
      <c r="T66" s="62">
        <f>N$48*(1-assumptions!E$15)*assumptions!E$8</f>
        <v>7118.6577487682835</v>
      </c>
      <c r="U66" s="62">
        <f>N$48*(assumptions!E$15)*assumptions!E$8*(1-assumptions!F$8)</f>
        <v>6069.5923963182204</v>
      </c>
      <c r="V66" s="59"/>
      <c r="W66" s="59">
        <f>SUM(T66,U66,V63)</f>
        <v>23889.943394972255</v>
      </c>
    </row>
    <row r="67" spans="1:24" ht="12.95" customHeight="1" x14ac:dyDescent="0.2">
      <c r="A67" s="1" t="s">
        <v>52</v>
      </c>
      <c r="B67" s="1" t="s">
        <v>289</v>
      </c>
      <c r="C67" s="8" t="s">
        <v>290</v>
      </c>
      <c r="D67" s="10">
        <v>4.6481695993527868E-2</v>
      </c>
      <c r="E67" s="10">
        <v>3.4315257592332137E-2</v>
      </c>
      <c r="F67" s="10">
        <v>4.6481695993527868E-2</v>
      </c>
      <c r="G67" s="12">
        <v>153686</v>
      </c>
      <c r="H67" s="12">
        <v>3060</v>
      </c>
      <c r="I67" s="13">
        <f t="shared" si="7"/>
        <v>156746</v>
      </c>
      <c r="J67" s="43">
        <f t="shared" si="8"/>
        <v>157358</v>
      </c>
      <c r="K67" s="41">
        <f>(F67)*J67*assumptions!$A$3</f>
        <v>4754.2733667972125</v>
      </c>
      <c r="L67" s="66">
        <v>96</v>
      </c>
      <c r="M67" s="40">
        <v>96</v>
      </c>
      <c r="N67" s="43">
        <f>(F67)*J67*assumptions!$A$3*('Sorted by Region'!M67/100)</f>
        <v>4564.1024321253235</v>
      </c>
      <c r="O67" s="43">
        <f>(F67)*J67*(assumptions!$A$3)*((100-'Sorted by Region'!M67)/100)</f>
        <v>190.17093467188849</v>
      </c>
      <c r="P67" s="43"/>
      <c r="R67" s="5" t="s">
        <v>197</v>
      </c>
      <c r="S67" s="5" t="s">
        <v>208</v>
      </c>
      <c r="T67" s="43">
        <f>N$106*(1-assumptions!B$16)*assumptions!E$8</f>
        <v>2095.3734959746703</v>
      </c>
      <c r="U67" s="43">
        <f>N$106*assumptions!B$16*assumptions!E$8*(1-assumptions!F$8)</f>
        <v>46.563855466103782</v>
      </c>
      <c r="V67" s="13">
        <f>O$106*assumptions!E$8</f>
        <v>1277.4058544943814</v>
      </c>
      <c r="W67" s="13">
        <f>SUM(T67,U67,V67)</f>
        <v>3419.3432059351553</v>
      </c>
      <c r="X67" s="13"/>
    </row>
    <row r="68" spans="1:24" ht="12.95" customHeight="1" x14ac:dyDescent="0.2">
      <c r="A68" s="1" t="s">
        <v>52</v>
      </c>
      <c r="B68" s="1" t="s">
        <v>262</v>
      </c>
      <c r="C68" s="8" t="s">
        <v>263</v>
      </c>
      <c r="D68" s="10">
        <v>4.9701694979559702E-2</v>
      </c>
      <c r="E68" s="10"/>
      <c r="F68" s="10">
        <v>4.9701694979559702E-2</v>
      </c>
      <c r="G68" s="12">
        <v>273184</v>
      </c>
      <c r="H68" s="12">
        <v>4320</v>
      </c>
      <c r="I68" s="13">
        <f t="shared" si="7"/>
        <v>277504</v>
      </c>
      <c r="J68" s="43">
        <f t="shared" si="8"/>
        <v>278368</v>
      </c>
      <c r="K68" s="41">
        <f>(F68)*J68*assumptions!$A$3</f>
        <v>8992.9849282455489</v>
      </c>
      <c r="L68" s="66">
        <v>85</v>
      </c>
      <c r="M68" s="40">
        <v>85</v>
      </c>
      <c r="N68" s="43">
        <f>(F68)*J68*assumptions!$A$3*('Sorted by Region'!M68/100)</f>
        <v>7644.0371890087163</v>
      </c>
      <c r="O68" s="43">
        <f>(F68)*J68*(assumptions!$A$3)*((100-'Sorted by Region'!M68)/100)</f>
        <v>1348.9477392368324</v>
      </c>
      <c r="P68" s="43"/>
      <c r="R68" s="5" t="s">
        <v>197</v>
      </c>
      <c r="S68" s="5" t="s">
        <v>209</v>
      </c>
      <c r="T68" s="43">
        <f>N$106*(1-assumptions!C$16)*assumptions!E$8</f>
        <v>1629.7349413136326</v>
      </c>
      <c r="U68" s="43">
        <f>N$106*assumptions!C$16*assumptions!E$8*(1-assumptions!F$8)</f>
        <v>139.69156639831132</v>
      </c>
      <c r="V68" s="29"/>
      <c r="W68" s="13">
        <f>SUM(T68,U68,V67)</f>
        <v>3046.8323622063253</v>
      </c>
    </row>
    <row r="69" spans="1:24" ht="12.95" customHeight="1" x14ac:dyDescent="0.2">
      <c r="A69" s="1" t="s">
        <v>52</v>
      </c>
      <c r="B69" s="1" t="s">
        <v>138</v>
      </c>
      <c r="C69" s="8" t="s">
        <v>139</v>
      </c>
      <c r="D69" s="10"/>
      <c r="E69" s="10">
        <v>5.2538370720188902E-2</v>
      </c>
      <c r="F69" s="10">
        <v>5.2538370720188902E-2</v>
      </c>
      <c r="G69" s="12">
        <v>2012</v>
      </c>
      <c r="H69" s="12">
        <v>20</v>
      </c>
      <c r="I69" s="13">
        <f t="shared" si="7"/>
        <v>2032</v>
      </c>
      <c r="J69" s="43">
        <f t="shared" si="8"/>
        <v>2036</v>
      </c>
      <c r="K69" s="41">
        <f>(F69)*J69*assumptions!$A$3</f>
        <v>69.529279811097993</v>
      </c>
      <c r="L69" s="66">
        <v>100</v>
      </c>
      <c r="M69" s="40">
        <v>100</v>
      </c>
      <c r="N69" s="43">
        <f>(F69)*J69*assumptions!$A$3*('Sorted by Region'!M69/100)</f>
        <v>69.529279811097993</v>
      </c>
      <c r="O69" s="43">
        <f>(F69)*J69*(assumptions!$A$3)*((100-'Sorted by Region'!M69)/100)</f>
        <v>0</v>
      </c>
      <c r="P69" s="43"/>
      <c r="R69" s="5" t="s">
        <v>197</v>
      </c>
      <c r="S69" s="5" t="s">
        <v>210</v>
      </c>
      <c r="T69" s="43">
        <f>N$106*(1-assumptions!D$16)*assumptions!E$8</f>
        <v>1164.0963866525947</v>
      </c>
      <c r="U69" s="43">
        <f>N$106*assumptions!D$16*assumptions!E$8*(1-assumptions!F$8)</f>
        <v>232.81927733051887</v>
      </c>
      <c r="V69" s="29"/>
      <c r="W69" s="13">
        <f>SUM(T69,U69,V67)</f>
        <v>2674.3215184774949</v>
      </c>
    </row>
    <row r="70" spans="1:24" ht="12.95" customHeight="1" x14ac:dyDescent="0.2">
      <c r="A70" s="1" t="s">
        <v>52</v>
      </c>
      <c r="B70" s="1" t="s">
        <v>118</v>
      </c>
      <c r="C70" s="8" t="s">
        <v>119</v>
      </c>
      <c r="D70" s="10"/>
      <c r="E70" s="10"/>
      <c r="F70" s="18">
        <f>F204</f>
        <v>8.4294776278257908E-3</v>
      </c>
      <c r="G70" s="12">
        <v>2859</v>
      </c>
      <c r="H70" s="12">
        <v>30</v>
      </c>
      <c r="I70" s="13">
        <f t="shared" si="7"/>
        <v>2889</v>
      </c>
      <c r="J70" s="43">
        <f t="shared" si="8"/>
        <v>2895</v>
      </c>
      <c r="K70" s="41">
        <f>(F70)*J70*assumptions!$A$3</f>
        <v>15.862169526161182</v>
      </c>
      <c r="L70" s="66">
        <v>100</v>
      </c>
      <c r="M70" s="40">
        <v>100</v>
      </c>
      <c r="N70" s="43">
        <f>(F70)*J70*assumptions!$A$3*('Sorted by Region'!M70/100)</f>
        <v>15.862169526161182</v>
      </c>
      <c r="O70" s="43">
        <f>(F70)*J70*(assumptions!$A$3)*((100-'Sorted by Region'!M70)/100)</f>
        <v>0</v>
      </c>
      <c r="P70" s="43"/>
      <c r="R70" s="5" t="s">
        <v>197</v>
      </c>
      <c r="S70" s="72" t="s">
        <v>434</v>
      </c>
      <c r="T70" s="62">
        <f>N$106*(1-assumptions!E$16)*assumptions!E$8</f>
        <v>442.35662692798587</v>
      </c>
      <c r="U70" s="62">
        <f>N$106*assumptions!E$16*assumptions!E$8*(1-assumptions!F$8)</f>
        <v>377.1672292754406</v>
      </c>
      <c r="V70" s="59"/>
      <c r="W70" s="59">
        <f>SUM(T70,U70,V67)</f>
        <v>2096.9297106978079</v>
      </c>
    </row>
    <row r="71" spans="1:24" ht="12.95" customHeight="1" x14ac:dyDescent="0.2">
      <c r="A71" s="1" t="s">
        <v>52</v>
      </c>
      <c r="B71" s="1" t="s">
        <v>410</v>
      </c>
      <c r="C71" s="8" t="s">
        <v>214</v>
      </c>
      <c r="D71" s="10"/>
      <c r="E71" s="10"/>
      <c r="F71" s="18">
        <f>F204</f>
        <v>8.4294776278257908E-3</v>
      </c>
      <c r="G71" s="12">
        <v>262786</v>
      </c>
      <c r="H71" s="12">
        <v>4230</v>
      </c>
      <c r="I71" s="13">
        <f t="shared" si="7"/>
        <v>267016</v>
      </c>
      <c r="J71" s="43">
        <f t="shared" si="8"/>
        <v>267862</v>
      </c>
      <c r="K71" s="41">
        <f>(F71)*J71*assumptions!$A$3</f>
        <v>1467.6588786240368</v>
      </c>
      <c r="L71" s="66">
        <v>77</v>
      </c>
      <c r="M71" s="40">
        <v>77</v>
      </c>
      <c r="N71" s="43">
        <f>(F71)*J71*assumptions!$A$3*('Sorted by Region'!M71/100)</f>
        <v>1130.0973365405084</v>
      </c>
      <c r="O71" s="43">
        <f>(F71)*J71*(assumptions!$A$3)*((100-'Sorted by Region'!M71)/100)</f>
        <v>337.56154208352848</v>
      </c>
      <c r="P71" s="43"/>
      <c r="R71" s="5" t="s">
        <v>198</v>
      </c>
      <c r="S71" s="5" t="s">
        <v>208</v>
      </c>
      <c r="T71" s="43">
        <f>N$160*(1-assumptions!B$17)*assumptions!E$8</f>
        <v>946.72411610449717</v>
      </c>
      <c r="U71" s="43">
        <f>N$160*assumptions!B$17*assumptions!E$8*(1-assumptions!F$8)</f>
        <v>189.3448232208994</v>
      </c>
      <c r="V71" s="13">
        <f>O$160*assumptions!E$8</f>
        <v>50.719014480249605</v>
      </c>
      <c r="W71" s="13">
        <f>SUM(T71,U71,V71)</f>
        <v>1186.7879538056461</v>
      </c>
      <c r="X71" s="13"/>
    </row>
    <row r="72" spans="1:24" ht="12.95" customHeight="1" x14ac:dyDescent="0.2">
      <c r="A72" s="1" t="s">
        <v>52</v>
      </c>
      <c r="B72" s="1" t="s">
        <v>233</v>
      </c>
      <c r="C72" s="8" t="s">
        <v>234</v>
      </c>
      <c r="D72" s="10"/>
      <c r="E72" s="10"/>
      <c r="F72" s="18">
        <f>F204</f>
        <v>8.4294776278257908E-3</v>
      </c>
      <c r="G72" s="12">
        <v>5646</v>
      </c>
      <c r="H72" s="12">
        <v>50</v>
      </c>
      <c r="I72" s="13">
        <f t="shared" si="7"/>
        <v>5696</v>
      </c>
      <c r="J72" s="43">
        <f t="shared" si="8"/>
        <v>5706</v>
      </c>
      <c r="K72" s="41">
        <f>(F72)*J72*assumptions!$A$3</f>
        <v>31.26408957384308</v>
      </c>
      <c r="L72" s="66">
        <v>98</v>
      </c>
      <c r="M72" s="40">
        <v>98</v>
      </c>
      <c r="N72" s="43">
        <f>(F72)*J72*assumptions!$A$3*('Sorted by Region'!M72/100)</f>
        <v>30.638807782366218</v>
      </c>
      <c r="O72" s="43">
        <f>(F72)*J72*(assumptions!$A$3)*((100-'Sorted by Region'!M72)/100)</f>
        <v>0.62528179147686158</v>
      </c>
      <c r="P72" s="43"/>
      <c r="R72" s="5" t="s">
        <v>198</v>
      </c>
      <c r="S72" s="5" t="s">
        <v>209</v>
      </c>
      <c r="T72" s="43">
        <f>N$160*(1-assumptions!C$17)*assumptions!E$8</f>
        <v>568.03446966269837</v>
      </c>
      <c r="U72" s="43">
        <f>N$160*assumptions!C$17*assumptions!E$8*(1-assumptions!F$8)</f>
        <v>265.08275250925914</v>
      </c>
      <c r="V72" s="29"/>
      <c r="W72" s="13">
        <f>SUM(T72,U72,V71)</f>
        <v>883.83623665220716</v>
      </c>
    </row>
    <row r="73" spans="1:24" ht="12.95" customHeight="1" x14ac:dyDescent="0.2">
      <c r="A73" s="1" t="s">
        <v>52</v>
      </c>
      <c r="B73" s="1" t="s">
        <v>239</v>
      </c>
      <c r="C73" s="8" t="s">
        <v>240</v>
      </c>
      <c r="D73" s="10"/>
      <c r="E73" s="10"/>
      <c r="F73" s="18">
        <f>F204</f>
        <v>8.4294776278257908E-3</v>
      </c>
      <c r="G73" s="12">
        <v>353105</v>
      </c>
      <c r="H73" s="12">
        <v>1160</v>
      </c>
      <c r="I73" s="13">
        <f t="shared" si="7"/>
        <v>354265</v>
      </c>
      <c r="J73" s="43">
        <f t="shared" si="8"/>
        <v>354497</v>
      </c>
      <c r="K73" s="41">
        <f>(F73)*J73*assumptions!$A$3</f>
        <v>1942.3459449103837</v>
      </c>
      <c r="L73" s="66"/>
      <c r="M73" s="35">
        <v>93.931311084888634</v>
      </c>
      <c r="N73" s="43">
        <f>(F73)*J73*assumptions!$A$3*('Sorted by Region'!M73/100)</f>
        <v>1824.4710118584921</v>
      </c>
      <c r="O73" s="43">
        <f>(F73)*J73*(assumptions!$A$3)*((100-'Sorted by Region'!M73)/100)</f>
        <v>117.87493305189157</v>
      </c>
      <c r="P73" s="43"/>
      <c r="R73" s="5" t="s">
        <v>198</v>
      </c>
      <c r="S73" s="5" t="s">
        <v>210</v>
      </c>
      <c r="T73" s="43">
        <f>N$160*(1-assumptions!D$17)*assumptions!E$8</f>
        <v>189.3448232208994</v>
      </c>
      <c r="U73" s="43">
        <f>N$160*assumptions!D$17*assumptions!E$8*(1-assumptions!F$8)</f>
        <v>340.82068179761893</v>
      </c>
      <c r="V73" s="29"/>
      <c r="W73" s="13">
        <f>SUM(T73,U73,V71)</f>
        <v>580.88451949876799</v>
      </c>
    </row>
    <row r="74" spans="1:24" ht="12.95" customHeight="1" x14ac:dyDescent="0.2">
      <c r="A74" s="1" t="s">
        <v>52</v>
      </c>
      <c r="B74" s="1" t="s">
        <v>77</v>
      </c>
      <c r="C74" s="8" t="s">
        <v>78</v>
      </c>
      <c r="D74" s="10"/>
      <c r="E74" s="10"/>
      <c r="F74" s="18">
        <f>F204</f>
        <v>8.4294776278257908E-3</v>
      </c>
      <c r="G74" s="12">
        <v>75436</v>
      </c>
      <c r="H74" s="12">
        <v>390</v>
      </c>
      <c r="I74" s="13">
        <f t="shared" si="7"/>
        <v>75826</v>
      </c>
      <c r="J74" s="43">
        <f t="shared" si="8"/>
        <v>75904</v>
      </c>
      <c r="K74" s="41">
        <f>(F74)*J74*assumptions!$A$3</f>
        <v>415.89019541061771</v>
      </c>
      <c r="L74" s="66">
        <v>90</v>
      </c>
      <c r="M74" s="40">
        <v>90</v>
      </c>
      <c r="N74" s="43">
        <f>(F74)*J74*assumptions!$A$3*('Sorted by Region'!M74/100)</f>
        <v>374.30117586955595</v>
      </c>
      <c r="O74" s="43">
        <f>(F74)*J74*(assumptions!$A$3)*((100-'Sorted by Region'!M74)/100)</f>
        <v>41.589019541061774</v>
      </c>
      <c r="P74" s="43"/>
      <c r="R74" s="5" t="s">
        <v>198</v>
      </c>
      <c r="S74" s="72" t="s">
        <v>434</v>
      </c>
      <c r="T74" s="62">
        <f>N$160*(1-assumptions!E$17)*assumptions!E$8</f>
        <v>189.3448232208994</v>
      </c>
      <c r="U74" s="62">
        <f>N$160*assumptions!E$17*assumptions!E$8*(1-assumptions!F$8)</f>
        <v>340.82068179761893</v>
      </c>
      <c r="V74" s="59"/>
      <c r="W74" s="59">
        <f>SUM(T74,U74,V71)</f>
        <v>580.88451949876799</v>
      </c>
    </row>
    <row r="75" spans="1:24" ht="12.95" customHeight="1" x14ac:dyDescent="0.2">
      <c r="A75" s="1" t="s">
        <v>52</v>
      </c>
      <c r="B75" s="1" t="s">
        <v>398</v>
      </c>
      <c r="C75" s="8" t="s">
        <v>399</v>
      </c>
      <c r="D75" s="10"/>
      <c r="E75" s="10"/>
      <c r="F75" s="18">
        <f>F204</f>
        <v>8.4294776278257908E-3</v>
      </c>
      <c r="G75" s="12">
        <v>280839</v>
      </c>
      <c r="H75" s="12">
        <v>3530</v>
      </c>
      <c r="I75" s="13">
        <f t="shared" si="7"/>
        <v>284369</v>
      </c>
      <c r="J75" s="43">
        <f t="shared" si="8"/>
        <v>285075</v>
      </c>
      <c r="K75" s="41">
        <f>(F75)*J75*assumptions!$A$3</f>
        <v>1561.9716675890843</v>
      </c>
      <c r="L75" s="66">
        <v>84</v>
      </c>
      <c r="M75" s="36">
        <v>84</v>
      </c>
      <c r="N75" s="43">
        <f>(F75)*J75*assumptions!$A$3*('Sorted by Region'!M75/100)</f>
        <v>1312.0562007748308</v>
      </c>
      <c r="O75" s="43">
        <f>(F75)*J75*(assumptions!$A$3)*((100-'Sorted by Region'!M75)/100)</f>
        <v>249.91546681425351</v>
      </c>
      <c r="P75" s="43"/>
      <c r="R75" s="5" t="s">
        <v>207</v>
      </c>
      <c r="S75" s="5" t="s">
        <v>208</v>
      </c>
      <c r="T75" s="43">
        <f>N$84*(1-assumptions!B$18)*assumptions!E$8</f>
        <v>5410.3762249773827</v>
      </c>
      <c r="U75" s="43">
        <f>N$84*assumptions!B$18*assumptions!E$8*(1-assumptions!F$8)</f>
        <v>721.38349666365093</v>
      </c>
      <c r="V75" s="13">
        <f>O$84*assumptions!E$8</f>
        <v>567.69373531569374</v>
      </c>
      <c r="W75" s="13">
        <f>SUM(T75,U75,V75)</f>
        <v>6699.4534569567277</v>
      </c>
      <c r="X75" s="13"/>
    </row>
    <row r="76" spans="1:24" ht="12.95" customHeight="1" x14ac:dyDescent="0.2">
      <c r="A76" s="1" t="s">
        <v>52</v>
      </c>
      <c r="B76" s="1" t="s">
        <v>166</v>
      </c>
      <c r="C76" s="8" t="s">
        <v>167</v>
      </c>
      <c r="D76" s="10"/>
      <c r="E76" s="10"/>
      <c r="F76" s="18">
        <f>F204</f>
        <v>8.4294776278257908E-3</v>
      </c>
      <c r="G76" s="19">
        <f>50314*0.01407</f>
        <v>707.91797999999994</v>
      </c>
      <c r="H76" s="12">
        <v>10</v>
      </c>
      <c r="I76" s="13">
        <f t="shared" si="7"/>
        <v>717.91797999999994</v>
      </c>
      <c r="J76" s="43">
        <f t="shared" si="8"/>
        <v>719.91797999999994</v>
      </c>
      <c r="K76" s="41">
        <f>(F76)*J76*assumptions!$A$3</f>
        <v>3.9445461290816981</v>
      </c>
      <c r="L76" s="66">
        <v>100</v>
      </c>
      <c r="M76" s="36">
        <v>100</v>
      </c>
      <c r="N76" s="43">
        <f>(F76)*J76*assumptions!$A$3*('Sorted by Region'!M76/100)</f>
        <v>3.9445461290816981</v>
      </c>
      <c r="O76" s="43">
        <f>(F76)*J76*(assumptions!$A$3)*((100-'Sorted by Region'!M76)/100)</f>
        <v>0</v>
      </c>
      <c r="P76" s="43"/>
      <c r="R76" s="5" t="s">
        <v>207</v>
      </c>
      <c r="S76" s="5" t="s">
        <v>209</v>
      </c>
      <c r="T76" s="43">
        <f>N$84*(1-assumptions!C$18)*assumptions!E$8</f>
        <v>3606.9174833182556</v>
      </c>
      <c r="U76" s="43">
        <f>N$84*assumptions!C$18*assumptions!E$8*(1-assumptions!F$8)</f>
        <v>1082.0752449954764</v>
      </c>
      <c r="V76" s="29"/>
      <c r="W76" s="13">
        <f>SUM(T76,U76,V75)</f>
        <v>5256.6864636294258</v>
      </c>
    </row>
    <row r="77" spans="1:24" ht="12.95" customHeight="1" x14ac:dyDescent="0.2">
      <c r="A77" s="1" t="s">
        <v>52</v>
      </c>
      <c r="B77" s="1" t="s">
        <v>168</v>
      </c>
      <c r="C77" s="8" t="s">
        <v>169</v>
      </c>
      <c r="D77" s="10"/>
      <c r="E77" s="10"/>
      <c r="F77" s="18">
        <f>F204</f>
        <v>8.4294776278257908E-3</v>
      </c>
      <c r="G77" s="12">
        <v>3035</v>
      </c>
      <c r="H77" s="12">
        <v>50</v>
      </c>
      <c r="I77" s="13">
        <f t="shared" si="7"/>
        <v>3085</v>
      </c>
      <c r="J77" s="43">
        <f t="shared" si="8"/>
        <v>3095</v>
      </c>
      <c r="K77" s="41">
        <f>(F77)*J77*assumptions!$A$3</f>
        <v>16.958001617778535</v>
      </c>
      <c r="L77" s="66">
        <v>99</v>
      </c>
      <c r="M77" s="36">
        <v>99</v>
      </c>
      <c r="N77" s="43">
        <f>(F77)*J77*assumptions!$A$3*('Sorted by Region'!M77/100)</f>
        <v>16.788421601600749</v>
      </c>
      <c r="O77" s="43">
        <f>(F77)*J77*(assumptions!$A$3)*((100-'Sorted by Region'!M77)/100)</f>
        <v>0.16958001617778537</v>
      </c>
      <c r="P77" s="43"/>
      <c r="R77" s="5" t="s">
        <v>207</v>
      </c>
      <c r="S77" s="5" t="s">
        <v>210</v>
      </c>
      <c r="T77" s="43">
        <f>N$84*(1-assumptions!D$18)*assumptions!E$8</f>
        <v>1803.4587416591271</v>
      </c>
      <c r="U77" s="43">
        <f>N$84*assumptions!D$18*assumptions!E$8*(1-assumptions!F$8)</f>
        <v>1442.7669933273019</v>
      </c>
      <c r="V77" s="29"/>
      <c r="W77" s="13">
        <f>SUM(T77,U77,V75)</f>
        <v>3813.9194703021226</v>
      </c>
    </row>
    <row r="78" spans="1:24" ht="12.95" customHeight="1" x14ac:dyDescent="0.2">
      <c r="A78" s="1" t="s">
        <v>52</v>
      </c>
      <c r="B78" s="1" t="s">
        <v>394</v>
      </c>
      <c r="C78" s="8" t="s">
        <v>395</v>
      </c>
      <c r="D78" s="10"/>
      <c r="E78" s="10"/>
      <c r="F78" s="18">
        <f>F204</f>
        <v>8.4294776278257908E-3</v>
      </c>
      <c r="G78" s="12">
        <v>70143</v>
      </c>
      <c r="H78" s="12">
        <v>730</v>
      </c>
      <c r="I78" s="13">
        <f t="shared" si="7"/>
        <v>70873</v>
      </c>
      <c r="J78" s="43">
        <f t="shared" si="8"/>
        <v>71019</v>
      </c>
      <c r="K78" s="41">
        <f>(F78)*J78*assumptions!$A$3</f>
        <v>389.1244965728639</v>
      </c>
      <c r="L78" s="66">
        <v>72</v>
      </c>
      <c r="M78" s="36">
        <v>72</v>
      </c>
      <c r="N78" s="43">
        <f>(F78)*J78*assumptions!$A$3*('Sorted by Region'!M78/100)</f>
        <v>280.16963753246199</v>
      </c>
      <c r="O78" s="43">
        <f>(F78)*J78*(assumptions!$A$3)*((100-'Sorted by Region'!M78)/100)</f>
        <v>108.9548590404019</v>
      </c>
      <c r="P78" s="43"/>
      <c r="R78" s="5" t="s">
        <v>207</v>
      </c>
      <c r="S78" s="72" t="s">
        <v>434</v>
      </c>
      <c r="T78" s="62">
        <f>N$84*(1-assumptions!E$18)*assumptions!E$8</f>
        <v>1713.2858045761707</v>
      </c>
      <c r="U78" s="62">
        <f>N$84*assumptions!E$18*assumptions!E$8*(1-assumptions!F$8)</f>
        <v>1460.8015807438931</v>
      </c>
      <c r="V78" s="59"/>
      <c r="W78" s="59">
        <f>SUM(T78,U78,V75)</f>
        <v>3741.7811206357574</v>
      </c>
    </row>
    <row r="79" spans="1:24" ht="12.95" customHeight="1" x14ac:dyDescent="0.2">
      <c r="A79" s="1" t="s">
        <v>52</v>
      </c>
      <c r="B79" s="1" t="s">
        <v>178</v>
      </c>
      <c r="C79" s="8" t="s">
        <v>179</v>
      </c>
      <c r="D79" s="10"/>
      <c r="E79" s="10"/>
      <c r="F79" s="18">
        <f>F204</f>
        <v>8.4294776278257908E-3</v>
      </c>
      <c r="G79" s="12">
        <v>9774</v>
      </c>
      <c r="H79" s="12">
        <v>150</v>
      </c>
      <c r="I79" s="13">
        <f t="shared" si="7"/>
        <v>9924</v>
      </c>
      <c r="J79" s="43">
        <f t="shared" si="8"/>
        <v>9954</v>
      </c>
      <c r="K79" s="41">
        <f>(F79)*J79*assumptions!$A$3</f>
        <v>54.539563199795651</v>
      </c>
      <c r="L79" s="66">
        <v>90</v>
      </c>
      <c r="M79" s="36">
        <v>90</v>
      </c>
      <c r="N79" s="43">
        <f>(F79)*J79*assumptions!$A$3*('Sorted by Region'!M79/100)</f>
        <v>49.08560687981609</v>
      </c>
      <c r="O79" s="43">
        <f>(F79)*J79*(assumptions!$A$3)*((100-'Sorted by Region'!M79)/100)</f>
        <v>5.4539563199795653</v>
      </c>
      <c r="P79" s="43"/>
      <c r="R79" s="5" t="s">
        <v>199</v>
      </c>
      <c r="S79" s="5" t="s">
        <v>208</v>
      </c>
      <c r="T79" s="43">
        <f>N$172*(1-assumptions!B$19)*assumptions!E$8</f>
        <v>34104.398714166498</v>
      </c>
      <c r="U79" s="43">
        <f>N$172*assumptions!B$19*assumptions!E$8*(1-assumptions!F$8)</f>
        <v>1705.2199357083246</v>
      </c>
      <c r="V79" s="30">
        <f>O$172*assumptions!E$8</f>
        <v>11665.894320611518</v>
      </c>
      <c r="W79" s="13">
        <f>SUM(T79,U79,V79)</f>
        <v>47475.512970486336</v>
      </c>
      <c r="X79" s="13"/>
    </row>
    <row r="80" spans="1:24" ht="12.95" customHeight="1" x14ac:dyDescent="0.2">
      <c r="A80" s="1" t="s">
        <v>52</v>
      </c>
      <c r="B80" s="1" t="s">
        <v>304</v>
      </c>
      <c r="C80" s="8" t="s">
        <v>46</v>
      </c>
      <c r="D80" s="10"/>
      <c r="E80" s="10"/>
      <c r="F80" s="18">
        <f>F204</f>
        <v>8.4294776278257908E-3</v>
      </c>
      <c r="G80" s="12">
        <v>4398904</v>
      </c>
      <c r="H80" s="12">
        <v>13060</v>
      </c>
      <c r="I80" s="13">
        <f t="shared" si="7"/>
        <v>4411964</v>
      </c>
      <c r="J80" s="43">
        <f t="shared" si="8"/>
        <v>4414576</v>
      </c>
      <c r="K80" s="41">
        <f>(F80)*J80*assumptions!$A$3</f>
        <v>24188.170258418835</v>
      </c>
      <c r="L80" s="66"/>
      <c r="M80" s="35">
        <v>93.931311084888634</v>
      </c>
      <c r="N80" s="43">
        <f>(F80)*J80*assumptions!$A$3*('Sorted by Region'!M80/100)</f>
        <v>22720.265451177907</v>
      </c>
      <c r="O80" s="43">
        <f>(F80)*J80*(assumptions!$A$3)*((100-'Sorted by Region'!M80)/100)</f>
        <v>1467.9048072409282</v>
      </c>
      <c r="P80" s="43"/>
      <c r="R80" s="5" t="s">
        <v>199</v>
      </c>
      <c r="S80" s="5" t="s">
        <v>209</v>
      </c>
      <c r="T80" s="43">
        <f>N$172*(1-assumptions!C$19)*assumptions!E$8</f>
        <v>25578.29903562487</v>
      </c>
      <c r="U80" s="43">
        <f>N$172*assumptions!C$19*assumptions!E$8*(1-assumptions!F$8)</f>
        <v>3410.4398714166491</v>
      </c>
      <c r="V80" s="29"/>
      <c r="W80" s="13">
        <f>SUM(T80,U80,V79)</f>
        <v>40654.633227653037</v>
      </c>
    </row>
    <row r="81" spans="1:32" ht="12.95" customHeight="1" x14ac:dyDescent="0.2">
      <c r="A81" s="1" t="s">
        <v>52</v>
      </c>
      <c r="B81" s="1" t="s">
        <v>90</v>
      </c>
      <c r="C81" s="8" t="s">
        <v>91</v>
      </c>
      <c r="D81" s="10"/>
      <c r="E81" s="10"/>
      <c r="F81" s="18">
        <f>F204</f>
        <v>8.4294776278257908E-3</v>
      </c>
      <c r="G81" s="12">
        <v>50356</v>
      </c>
      <c r="H81" s="12">
        <v>470</v>
      </c>
      <c r="I81" s="13">
        <f t="shared" si="7"/>
        <v>50826</v>
      </c>
      <c r="J81" s="43">
        <f t="shared" si="8"/>
        <v>50920</v>
      </c>
      <c r="K81" s="41">
        <f>(F81)*J81*assumptions!$A$3</f>
        <v>278.99885052577804</v>
      </c>
      <c r="L81" s="66">
        <v>97</v>
      </c>
      <c r="M81" s="36">
        <v>97</v>
      </c>
      <c r="N81" s="43">
        <f>(F81)*J81*assumptions!$A$3*('Sorted by Region'!M81/100)</f>
        <v>270.62888501000469</v>
      </c>
      <c r="O81" s="43">
        <f>(F81)*J81*(assumptions!$A$3)*((100-'Sorted by Region'!M81)/100)</f>
        <v>8.369965515773341</v>
      </c>
      <c r="P81" s="43"/>
      <c r="R81" s="5" t="s">
        <v>199</v>
      </c>
      <c r="S81" s="5" t="s">
        <v>210</v>
      </c>
      <c r="T81" s="43">
        <f>N$172*(1-assumptions!D$19)*assumptions!E$8</f>
        <v>17052.199357083249</v>
      </c>
      <c r="U81" s="43">
        <f>N$172*assumptions!D$19*assumptions!E$8*(1-assumptions!F$8)</f>
        <v>5115.6598071249728</v>
      </c>
      <c r="V81" s="29"/>
      <c r="W81" s="13">
        <f>SUM(T81,U81,V79)</f>
        <v>33833.753484819739</v>
      </c>
    </row>
    <row r="82" spans="1:32" ht="12.95" customHeight="1" x14ac:dyDescent="0.2">
      <c r="A82" s="1" t="s">
        <v>52</v>
      </c>
      <c r="B82" s="1" t="s">
        <v>170</v>
      </c>
      <c r="C82" s="8" t="s">
        <v>171</v>
      </c>
      <c r="D82" s="10"/>
      <c r="E82" s="10"/>
      <c r="F82" s="18">
        <f>F204</f>
        <v>8.4294776278257908E-3</v>
      </c>
      <c r="G82" s="12">
        <v>1917</v>
      </c>
      <c r="H82" s="12">
        <v>20</v>
      </c>
      <c r="I82" s="13">
        <f t="shared" si="7"/>
        <v>1937</v>
      </c>
      <c r="J82" s="43">
        <f t="shared" si="8"/>
        <v>1941</v>
      </c>
      <c r="K82" s="41">
        <f>(F82)*J82*assumptions!$A$3</f>
        <v>10.635050449146409</v>
      </c>
      <c r="L82" s="66">
        <v>95</v>
      </c>
      <c r="M82" s="36">
        <v>95</v>
      </c>
      <c r="N82" s="43">
        <f>(F82)*J82*assumptions!$A$3*('Sorted by Region'!M82/100)</f>
        <v>10.103297926689088</v>
      </c>
      <c r="O82" s="43">
        <f>(F82)*J82*(assumptions!$A$3)*((100-'Sorted by Region'!M82)/100)</f>
        <v>0.53175252245732041</v>
      </c>
      <c r="P82" s="43"/>
      <c r="R82" s="5" t="s">
        <v>199</v>
      </c>
      <c r="S82" s="72" t="s">
        <v>434</v>
      </c>
      <c r="T82" s="62">
        <f>N$172*(1-assumptions!E$19)*assumptions!E$8</f>
        <v>8099.7946946145412</v>
      </c>
      <c r="U82" s="62">
        <f>N$172*assumptions!E$19*assumptions!E$8*(1-assumptions!F$8)</f>
        <v>6906.1407396187151</v>
      </c>
      <c r="V82" s="59"/>
      <c r="W82" s="59">
        <f>SUM(T82,U82,V79)</f>
        <v>26671.829754844774</v>
      </c>
    </row>
    <row r="83" spans="1:32" ht="12.95" customHeight="1" x14ac:dyDescent="0.2">
      <c r="A83" s="1" t="s">
        <v>52</v>
      </c>
      <c r="B83" s="1" t="s">
        <v>194</v>
      </c>
      <c r="C83" s="8" t="s">
        <v>226</v>
      </c>
      <c r="D83" s="10"/>
      <c r="E83" s="10"/>
      <c r="F83" s="18">
        <f>F204</f>
        <v>8.4294776278257908E-3</v>
      </c>
      <c r="G83" s="12">
        <v>598525</v>
      </c>
      <c r="H83" s="12">
        <v>6480</v>
      </c>
      <c r="I83" s="13">
        <f t="shared" si="7"/>
        <v>605005</v>
      </c>
      <c r="J83" s="43">
        <f t="shared" si="8"/>
        <v>606301</v>
      </c>
      <c r="K83" s="41">
        <f>(F83)*J83*assumptions!$A$3</f>
        <v>3322.0204648984632</v>
      </c>
      <c r="L83" s="66">
        <v>94</v>
      </c>
      <c r="M83" s="36">
        <v>94</v>
      </c>
      <c r="N83" s="43">
        <f>(F83)*J83*assumptions!$A$3*('Sorted by Region'!M83/100)</f>
        <v>3122.699237004555</v>
      </c>
      <c r="O83" s="43">
        <f>(F83)*J83*(assumptions!$A$3)*((100-'Sorted by Region'!M83)/100)</f>
        <v>199.32122789390777</v>
      </c>
      <c r="P83" s="43"/>
      <c r="R83" s="5" t="s">
        <v>200</v>
      </c>
      <c r="S83" s="5" t="s">
        <v>208</v>
      </c>
      <c r="T83" s="43">
        <f>N$200*(1-assumptions!B$20)*assumptions!E$8</f>
        <v>2622.75788342647</v>
      </c>
      <c r="U83" s="43">
        <f>N$200*assumptions!B$20*assumptions!E$8*(1-assumptions!F$8)</f>
        <v>349.70105112352928</v>
      </c>
      <c r="V83" s="13">
        <f>O$200*assumptions!E$8</f>
        <v>472.95782050211938</v>
      </c>
      <c r="W83" s="13">
        <f>SUM(T83,U83,V83)</f>
        <v>3445.4167550521188</v>
      </c>
      <c r="X83" s="13"/>
    </row>
    <row r="84" spans="1:32" ht="12.75" customHeight="1" x14ac:dyDescent="0.2">
      <c r="A84" s="1"/>
      <c r="B84" s="1"/>
      <c r="C84" s="8"/>
      <c r="D84" s="10"/>
      <c r="E84" s="10"/>
      <c r="F84" s="4"/>
      <c r="G84" s="12"/>
      <c r="H84" s="12"/>
      <c r="I84" s="13"/>
      <c r="J84" s="43"/>
      <c r="K84" s="42">
        <f>SUM(K49:K83)</f>
        <v>106499.86048457035</v>
      </c>
      <c r="L84" s="66"/>
      <c r="M84" s="36"/>
      <c r="N84" s="49">
        <f>SUM(N49:N83)</f>
        <v>100192.15231439598</v>
      </c>
      <c r="O84" s="49">
        <f>SUM(O49:O83)</f>
        <v>6307.7081701743755</v>
      </c>
      <c r="P84" s="49"/>
      <c r="R84" s="5" t="s">
        <v>200</v>
      </c>
      <c r="S84" s="5" t="s">
        <v>209</v>
      </c>
      <c r="T84" s="43">
        <f>N$200*(1-assumptions!C$20)*assumptions!E$8</f>
        <v>1748.5052556176468</v>
      </c>
      <c r="U84" s="43">
        <f>N$200*assumptions!C$20*assumptions!E$8*(1-assumptions!F$8)</f>
        <v>524.55157668529387</v>
      </c>
      <c r="V84" s="29"/>
      <c r="W84" s="13">
        <f>SUM(T84,U84,V83)</f>
        <v>2746.01465280506</v>
      </c>
    </row>
    <row r="85" spans="1:32" ht="12.95" customHeight="1" x14ac:dyDescent="0.2">
      <c r="A85" s="1" t="s">
        <v>222</v>
      </c>
      <c r="B85" s="1" t="s">
        <v>297</v>
      </c>
      <c r="C85" s="8" t="s">
        <v>298</v>
      </c>
      <c r="D85" s="10">
        <v>0</v>
      </c>
      <c r="E85" s="10"/>
      <c r="F85" s="10">
        <v>0</v>
      </c>
      <c r="G85" s="12">
        <v>944060</v>
      </c>
      <c r="H85" s="12">
        <v>8220</v>
      </c>
      <c r="I85" s="13">
        <f t="shared" ref="I85:I105" si="11">SUM(G85+H85)</f>
        <v>952280</v>
      </c>
      <c r="J85" s="43">
        <f t="shared" ref="J85:J105" si="12">G85+H85+(0.2*H85)</f>
        <v>953924</v>
      </c>
      <c r="K85" s="41">
        <f>(F85)*J85*assumptions!$A$3</f>
        <v>0</v>
      </c>
      <c r="L85" s="66">
        <v>84</v>
      </c>
      <c r="M85" s="36">
        <v>84</v>
      </c>
      <c r="N85" s="43">
        <f>(F85)*J85*assumptions!$A$3*('Sorted by Region'!M85/100)</f>
        <v>0</v>
      </c>
      <c r="O85" s="43">
        <f>(F85)*J85*(assumptions!$A$3)*((100-'Sorted by Region'!M85)/100)</f>
        <v>0</v>
      </c>
      <c r="P85" s="43"/>
      <c r="R85" s="5" t="s">
        <v>200</v>
      </c>
      <c r="S85" s="5" t="s">
        <v>210</v>
      </c>
      <c r="T85" s="43">
        <f>N$200*(1-assumptions!D$20)*assumptions!E$8</f>
        <v>874.25262780882304</v>
      </c>
      <c r="U85" s="43">
        <f>N$200*assumptions!D$20*assumptions!E$8*(1-assumptions!F$8)</f>
        <v>699.40210224705856</v>
      </c>
      <c r="V85" s="29"/>
      <c r="W85" s="13">
        <f>SUM(T85,U85,V83)</f>
        <v>2046.612550558001</v>
      </c>
    </row>
    <row r="86" spans="1:32" ht="12.95" customHeight="1" x14ac:dyDescent="0.2">
      <c r="A86" s="1" t="s">
        <v>222</v>
      </c>
      <c r="B86" s="1" t="s">
        <v>299</v>
      </c>
      <c r="C86" s="8" t="s">
        <v>300</v>
      </c>
      <c r="D86" s="10">
        <v>0</v>
      </c>
      <c r="E86" s="10">
        <v>0</v>
      </c>
      <c r="F86" s="10">
        <v>0</v>
      </c>
      <c r="G86" s="12">
        <v>156913</v>
      </c>
      <c r="H86" s="12">
        <v>2010</v>
      </c>
      <c r="I86" s="13">
        <f t="shared" si="11"/>
        <v>158923</v>
      </c>
      <c r="J86" s="43">
        <f t="shared" si="12"/>
        <v>159325</v>
      </c>
      <c r="K86" s="41">
        <f>(F86)*J86*assumptions!$A$3</f>
        <v>0</v>
      </c>
      <c r="L86" s="66">
        <v>99</v>
      </c>
      <c r="M86" s="36">
        <v>99</v>
      </c>
      <c r="N86" s="43">
        <f>(F86)*J86*assumptions!$A$3*('Sorted by Region'!M86/100)</f>
        <v>0</v>
      </c>
      <c r="O86" s="43">
        <f>(F86)*J86*(assumptions!$A$3)*((100-'Sorted by Region'!M86)/100)</f>
        <v>0</v>
      </c>
      <c r="P86" s="43"/>
      <c r="R86" s="5" t="s">
        <v>200</v>
      </c>
      <c r="S86" s="72" t="s">
        <v>434</v>
      </c>
      <c r="T86" s="62">
        <f>N$200*(1-assumptions!E$20)*assumptions!E$8</f>
        <v>830.53999641838186</v>
      </c>
      <c r="U86" s="62">
        <f>N$200*assumptions!E$20*assumptions!E$8*(1-assumptions!F$8)</f>
        <v>708.1446285251468</v>
      </c>
      <c r="V86" s="59"/>
      <c r="W86" s="59">
        <f>SUM(T86,U86,V83)</f>
        <v>2011.642445445648</v>
      </c>
    </row>
    <row r="87" spans="1:32" s="9" customFormat="1" ht="12.95" customHeight="1" x14ac:dyDescent="0.2">
      <c r="A87" s="1" t="s">
        <v>222</v>
      </c>
      <c r="B87" s="1" t="s">
        <v>285</v>
      </c>
      <c r="C87" s="8" t="s">
        <v>286</v>
      </c>
      <c r="D87" s="10">
        <v>3.8830125964928631E-4</v>
      </c>
      <c r="E87" s="10">
        <v>3.6931986054482068E-4</v>
      </c>
      <c r="F87" s="10">
        <v>3.6931986054482068E-4</v>
      </c>
      <c r="G87" s="12">
        <v>61369</v>
      </c>
      <c r="H87" s="12">
        <v>400</v>
      </c>
      <c r="I87" s="13">
        <f t="shared" si="11"/>
        <v>61769</v>
      </c>
      <c r="J87" s="43">
        <f t="shared" si="12"/>
        <v>61849</v>
      </c>
      <c r="K87" s="41">
        <f>(F87)*J87*assumptions!$A$3</f>
        <v>14.847341635643801</v>
      </c>
      <c r="L87" s="66">
        <v>100</v>
      </c>
      <c r="M87" s="36">
        <v>100</v>
      </c>
      <c r="N87" s="43">
        <f>(F87)*J87*assumptions!$A$3*('Sorted by Region'!M87/100)</f>
        <v>14.847341635643801</v>
      </c>
      <c r="O87" s="43">
        <f>(F87)*J87*(assumptions!$A$3)*((100-'Sorted by Region'!M87)/100)</f>
        <v>0</v>
      </c>
      <c r="P87" s="43"/>
      <c r="Q87" s="5"/>
      <c r="R87" s="5"/>
      <c r="S87" s="5"/>
      <c r="T87" s="43"/>
      <c r="U87" s="43"/>
      <c r="V87" s="20"/>
      <c r="W87" s="13"/>
      <c r="Y87" s="5"/>
      <c r="Z87" s="5"/>
      <c r="AA87" s="13"/>
      <c r="AB87" s="13"/>
      <c r="AC87" s="13"/>
      <c r="AD87" s="13"/>
      <c r="AE87" s="59"/>
      <c r="AF87"/>
    </row>
    <row r="88" spans="1:32" ht="12.95" customHeight="1" x14ac:dyDescent="0.2">
      <c r="A88" s="1" t="s">
        <v>222</v>
      </c>
      <c r="B88" s="1" t="s">
        <v>308</v>
      </c>
      <c r="C88" s="8" t="s">
        <v>309</v>
      </c>
      <c r="D88" s="10">
        <v>5.6726860168289687E-4</v>
      </c>
      <c r="E88" s="10">
        <v>5.6726860168289687E-4</v>
      </c>
      <c r="F88" s="10">
        <v>5.6726860168289687E-4</v>
      </c>
      <c r="G88" s="12">
        <v>590623</v>
      </c>
      <c r="H88" s="12">
        <v>4540</v>
      </c>
      <c r="I88" s="13">
        <f t="shared" si="11"/>
        <v>595163</v>
      </c>
      <c r="J88" s="43">
        <f t="shared" si="12"/>
        <v>596071</v>
      </c>
      <c r="K88" s="41">
        <f>(F88)*J88*assumptions!$A$3</f>
        <v>219.78603573792191</v>
      </c>
      <c r="L88" s="66">
        <v>90</v>
      </c>
      <c r="M88" s="40">
        <v>90</v>
      </c>
      <c r="N88" s="43">
        <f>(F88)*J88*assumptions!$A$3*('Sorted by Region'!M88/100)</f>
        <v>197.80743216412972</v>
      </c>
      <c r="O88" s="43">
        <f>(F88)*J88*(assumptions!$A$3)*((100-'Sorted by Region'!M88)/100)</f>
        <v>21.978603573792192</v>
      </c>
      <c r="P88" s="43"/>
      <c r="R88" s="5" t="s">
        <v>2</v>
      </c>
      <c r="S88" s="5" t="s">
        <v>208</v>
      </c>
      <c r="T88" s="43">
        <f>SUM(T63,T67,T71,T75,T79,T83)</f>
        <v>78899.588191972973</v>
      </c>
      <c r="U88" s="43">
        <f>SUM(U63,U67,U71,U75,U79,U83)</f>
        <v>3761.5455567896961</v>
      </c>
      <c r="V88" s="13">
        <f>SUM(V63,V67,V71,V75,V79,V83)</f>
        <v>24736.363995289717</v>
      </c>
      <c r="W88" s="13">
        <f>SUM(W63,W67,W71,W75,W79,W83)</f>
        <v>107397.49774405238</v>
      </c>
    </row>
    <row r="89" spans="1:32" ht="12.95" customHeight="1" x14ac:dyDescent="0.2">
      <c r="A89" s="1" t="s">
        <v>222</v>
      </c>
      <c r="B89" s="1" t="s">
        <v>81</v>
      </c>
      <c r="C89" s="8" t="s">
        <v>82</v>
      </c>
      <c r="D89" s="10">
        <v>7.9415101474851878E-3</v>
      </c>
      <c r="E89" s="10">
        <v>4.5292341476804833E-3</v>
      </c>
      <c r="F89" s="10">
        <v>7.9415101474851878E-3</v>
      </c>
      <c r="G89" s="12">
        <v>24182</v>
      </c>
      <c r="H89" s="12">
        <v>850</v>
      </c>
      <c r="I89" s="13">
        <f t="shared" si="11"/>
        <v>25032</v>
      </c>
      <c r="J89" s="43">
        <f t="shared" si="12"/>
        <v>25202</v>
      </c>
      <c r="K89" s="41">
        <f>(F89)*J89*assumptions!$A$3</f>
        <v>130.09226017899911</v>
      </c>
      <c r="L89" s="66">
        <v>92</v>
      </c>
      <c r="M89" s="40">
        <v>92</v>
      </c>
      <c r="N89" s="43">
        <f>(F89)*J89*assumptions!$A$3*('Sorted by Region'!M89/100)</f>
        <v>119.68487936467919</v>
      </c>
      <c r="O89" s="43">
        <f>(F89)*J89*(assumptions!$A$3)*((100-'Sorted by Region'!M89)/100)</f>
        <v>10.407380814319929</v>
      </c>
      <c r="P89" s="43"/>
      <c r="S89" s="5" t="s">
        <v>209</v>
      </c>
      <c r="T89" s="43">
        <f t="shared" ref="T89:U91" si="13">SUM(T64,T68,T72,T76,T80,T84)</f>
        <v>59358.124996788676</v>
      </c>
      <c r="U89" s="43">
        <f t="shared" si="13"/>
        <v>7669.8381958265527</v>
      </c>
      <c r="V89" s="29"/>
      <c r="W89" s="38">
        <f>SUM(W64,W68,W72,W76,W80,W84)</f>
        <v>91764.327187904943</v>
      </c>
    </row>
    <row r="90" spans="1:32" ht="12.95" customHeight="1" x14ac:dyDescent="0.2">
      <c r="A90" s="1" t="s">
        <v>222</v>
      </c>
      <c r="B90" s="1" t="s">
        <v>306</v>
      </c>
      <c r="C90" s="8" t="s">
        <v>307</v>
      </c>
      <c r="D90" s="10">
        <v>1.0900012178784557E-2</v>
      </c>
      <c r="E90" s="10"/>
      <c r="F90" s="10">
        <v>1.0900012178784557E-2</v>
      </c>
      <c r="G90" s="12">
        <v>646451</v>
      </c>
      <c r="H90" s="12">
        <v>12960</v>
      </c>
      <c r="I90" s="13">
        <f t="shared" si="11"/>
        <v>659411</v>
      </c>
      <c r="J90" s="43">
        <f t="shared" si="12"/>
        <v>662003</v>
      </c>
      <c r="K90" s="41">
        <f>(F90)*J90*assumptions!$A$3</f>
        <v>4690.2964955547432</v>
      </c>
      <c r="L90" s="66">
        <v>68</v>
      </c>
      <c r="M90" s="40">
        <v>68</v>
      </c>
      <c r="N90" s="43">
        <f>(F90)*J90*assumptions!$A$3*('Sorted by Region'!M90/100)</f>
        <v>3189.4016169772258</v>
      </c>
      <c r="O90" s="43">
        <f>(F90)*J90*(assumptions!$A$3)*((100-'Sorted by Region'!M90)/100)</f>
        <v>1500.8948785775178</v>
      </c>
      <c r="P90" s="43"/>
      <c r="S90" s="5" t="s">
        <v>210</v>
      </c>
      <c r="T90" s="43">
        <f t="shared" si="13"/>
        <v>39816.661801604401</v>
      </c>
      <c r="U90" s="43">
        <f t="shared" si="13"/>
        <v>11578.13083486341</v>
      </c>
      <c r="V90" s="29"/>
      <c r="W90" s="13">
        <f>SUM(W65,W69,W73,W77,W81,W85)</f>
        <v>76131.156631757505</v>
      </c>
    </row>
    <row r="91" spans="1:32" ht="12.95" customHeight="1" x14ac:dyDescent="0.2">
      <c r="A91" s="1" t="s">
        <v>222</v>
      </c>
      <c r="B91" s="1" t="s">
        <v>374</v>
      </c>
      <c r="C91" s="8" t="s">
        <v>375</v>
      </c>
      <c r="D91" s="10"/>
      <c r="E91" s="10">
        <v>3.4919249236141425E-2</v>
      </c>
      <c r="F91" s="10">
        <v>3.4919249236141425E-2</v>
      </c>
      <c r="G91" s="12">
        <v>1295961</v>
      </c>
      <c r="H91" s="12">
        <v>31740</v>
      </c>
      <c r="I91" s="13">
        <f t="shared" si="11"/>
        <v>1327701</v>
      </c>
      <c r="J91" s="43">
        <f t="shared" si="12"/>
        <v>1334049</v>
      </c>
      <c r="K91" s="41">
        <f>(F91)*J91*assumptions!$A$3</f>
        <v>30279.5931907464</v>
      </c>
      <c r="L91" s="66">
        <v>64</v>
      </c>
      <c r="M91" s="40">
        <v>64</v>
      </c>
      <c r="N91" s="43">
        <f>(F91)*J91*assumptions!$A$3*('Sorted by Region'!M91/100)</f>
        <v>19378.939642077697</v>
      </c>
      <c r="O91" s="43">
        <f>(F91)*J91*(assumptions!$A$3)*((100-'Sorted by Region'!M91)/100)</f>
        <v>10900.653548668704</v>
      </c>
      <c r="P91" s="43"/>
      <c r="S91" s="72" t="s">
        <v>434</v>
      </c>
      <c r="T91" s="62">
        <f t="shared" si="13"/>
        <v>18393.979694526264</v>
      </c>
      <c r="U91" s="62">
        <f t="shared" si="13"/>
        <v>15862.667256279034</v>
      </c>
      <c r="V91" s="59"/>
      <c r="W91" s="59">
        <f>SUM(W66,W70,W74,W78,W82,W86)</f>
        <v>58993.010946095012</v>
      </c>
    </row>
    <row r="92" spans="1:32" ht="12.75" customHeight="1" x14ac:dyDescent="0.2">
      <c r="A92" s="1" t="s">
        <v>222</v>
      </c>
      <c r="B92" s="1" t="s">
        <v>382</v>
      </c>
      <c r="C92" s="8" t="s">
        <v>383</v>
      </c>
      <c r="D92" s="10"/>
      <c r="E92" s="10"/>
      <c r="F92" s="18">
        <f>F205</f>
        <v>5.6726860168289687E-4</v>
      </c>
      <c r="G92" s="12">
        <v>62566</v>
      </c>
      <c r="H92" s="12">
        <v>280</v>
      </c>
      <c r="I92" s="13">
        <f t="shared" si="11"/>
        <v>62846</v>
      </c>
      <c r="J92" s="43">
        <f t="shared" si="12"/>
        <v>62902</v>
      </c>
      <c r="K92" s="41">
        <f>(F92)*J92*assumptions!$A$3</f>
        <v>23.193514228987429</v>
      </c>
      <c r="L92" s="66">
        <v>97</v>
      </c>
      <c r="M92" s="40">
        <v>97</v>
      </c>
      <c r="N92" s="43">
        <f>(F92)*J92*assumptions!$A$3*('Sorted by Region'!M92/100)</f>
        <v>22.497708802117806</v>
      </c>
      <c r="O92" s="43">
        <f>(F92)*J92*(assumptions!$A$3)*((100-'Sorted by Region'!M92)/100)</f>
        <v>0.69580542686962288</v>
      </c>
      <c r="P92" s="43"/>
    </row>
    <row r="93" spans="1:32" ht="12.95" customHeight="1" x14ac:dyDescent="0.2">
      <c r="A93" s="1" t="s">
        <v>222</v>
      </c>
      <c r="B93" s="1" t="s">
        <v>223</v>
      </c>
      <c r="C93" s="8" t="s">
        <v>224</v>
      </c>
      <c r="D93" s="10"/>
      <c r="E93" s="10"/>
      <c r="F93" s="18">
        <f>F205</f>
        <v>5.6726860168289687E-4</v>
      </c>
      <c r="G93" s="12">
        <v>1268597</v>
      </c>
      <c r="H93" s="12">
        <v>38390</v>
      </c>
      <c r="I93" s="13">
        <f t="shared" si="11"/>
        <v>1306987</v>
      </c>
      <c r="J93" s="43">
        <f t="shared" si="12"/>
        <v>1314665</v>
      </c>
      <c r="K93" s="41">
        <f>(F93)*J93*assumptions!$A$3</f>
        <v>484.74931455043969</v>
      </c>
      <c r="L93" s="66">
        <v>16</v>
      </c>
      <c r="M93" s="40">
        <v>16</v>
      </c>
      <c r="N93" s="43">
        <f>(F93)*J93*assumptions!$A$3*('Sorted by Region'!M93/100)</f>
        <v>77.559890328070352</v>
      </c>
      <c r="O93" s="43">
        <f>(F93)*J93*(assumptions!$A$3)*((100-'Sorted by Region'!M93)/100)</f>
        <v>407.18942422236933</v>
      </c>
      <c r="P93" s="43"/>
      <c r="Q93" s="5" t="s">
        <v>446</v>
      </c>
      <c r="R93" s="5" t="s">
        <v>195</v>
      </c>
      <c r="S93" s="5" t="s">
        <v>208</v>
      </c>
      <c r="T93" s="43">
        <f>N$48*(1-assumptions!B$15)*assumptions!E$9</f>
        <v>22479.971838215639</v>
      </c>
      <c r="U93" s="43">
        <f>N$48*(assumptions!B$15)*assumptions!E$9*(1-assumptions!F$9)</f>
        <v>899.19887352862554</v>
      </c>
      <c r="V93" s="13">
        <f>O$48*assumptions!E$9</f>
        <v>7134.4621665905006</v>
      </c>
      <c r="W93" s="13">
        <f>SUM(T93,U93,V93)</f>
        <v>30513.632878334764</v>
      </c>
      <c r="X93" s="13"/>
    </row>
    <row r="94" spans="1:32" ht="12.95" customHeight="1" x14ac:dyDescent="0.2">
      <c r="A94" s="1" t="s">
        <v>222</v>
      </c>
      <c r="B94" s="1" t="s">
        <v>235</v>
      </c>
      <c r="C94" s="8" t="s">
        <v>236</v>
      </c>
      <c r="D94" s="10"/>
      <c r="E94" s="10"/>
      <c r="F94" s="18">
        <f>F205</f>
        <v>5.6726860168289687E-4</v>
      </c>
      <c r="G94" s="12">
        <v>13976</v>
      </c>
      <c r="H94" s="12">
        <v>120</v>
      </c>
      <c r="I94" s="13">
        <f t="shared" si="11"/>
        <v>14096</v>
      </c>
      <c r="J94" s="43">
        <f t="shared" si="12"/>
        <v>14120</v>
      </c>
      <c r="K94" s="41">
        <f>(F94)*J94*assumptions!$A$3</f>
        <v>5.2063912262456276</v>
      </c>
      <c r="L94" s="66">
        <v>97</v>
      </c>
      <c r="M94" s="40">
        <v>97</v>
      </c>
      <c r="N94" s="43">
        <f>(F94)*J94*assumptions!$A$3*('Sorted by Region'!M94/100)</f>
        <v>5.0501994894582589</v>
      </c>
      <c r="O94" s="43">
        <f>(F94)*J94*(assumptions!$A$3)*((100-'Sorted by Region'!M94)/100)</f>
        <v>0.15619173678736883</v>
      </c>
      <c r="P94" s="43"/>
      <c r="R94" s="5" t="s">
        <v>195</v>
      </c>
      <c r="S94" s="5" t="s">
        <v>209</v>
      </c>
      <c r="T94" s="43">
        <f>N$48*(1-assumptions!C$15)*assumptions!E$9</f>
        <v>17484.422540834385</v>
      </c>
      <c r="U94" s="43">
        <f>N$48*(assumptions!C$15)*assumptions!E$9*(1-assumptions!F$9)</f>
        <v>2697.5966205858763</v>
      </c>
      <c r="V94" s="29"/>
      <c r="W94" s="13">
        <f>SUM(T94,U94,V93)</f>
        <v>27316.481328010759</v>
      </c>
    </row>
    <row r="95" spans="1:32" ht="12.95" customHeight="1" x14ac:dyDescent="0.2">
      <c r="A95" s="1" t="s">
        <v>222</v>
      </c>
      <c r="B95" s="1" t="s">
        <v>85</v>
      </c>
      <c r="C95" s="8" t="s">
        <v>86</v>
      </c>
      <c r="D95" s="10"/>
      <c r="E95" s="10"/>
      <c r="F95" s="18">
        <f>F205</f>
        <v>5.6726860168289687E-4</v>
      </c>
      <c r="G95" s="12">
        <v>2015085</v>
      </c>
      <c r="H95" s="12">
        <v>27350</v>
      </c>
      <c r="I95" s="13">
        <f t="shared" si="11"/>
        <v>2042435</v>
      </c>
      <c r="J95" s="43">
        <f t="shared" si="12"/>
        <v>2047905</v>
      </c>
      <c r="K95" s="41">
        <f>(F95)*J95*assumptions!$A$3</f>
        <v>755.11293372411842</v>
      </c>
      <c r="L95" s="66">
        <v>74</v>
      </c>
      <c r="M95" s="40">
        <v>74</v>
      </c>
      <c r="N95" s="43">
        <f>(F95)*J95*assumptions!$A$3*('Sorted by Region'!M95/100)</f>
        <v>558.78357095584761</v>
      </c>
      <c r="O95" s="43">
        <f>(F95)*J95*(assumptions!$A$3)*((100-'Sorted by Region'!M95)/100)</f>
        <v>196.32936276827078</v>
      </c>
      <c r="P95" s="43"/>
      <c r="R95" s="5" t="s">
        <v>195</v>
      </c>
      <c r="S95" s="5" t="s">
        <v>210</v>
      </c>
      <c r="T95" s="43">
        <f>N$48*(1-assumptions!D$15)*assumptions!E$9</f>
        <v>12488.873243453132</v>
      </c>
      <c r="U95" s="43">
        <f>N$48*(assumptions!D$15)*assumptions!E$9*(1-assumptions!F$9)</f>
        <v>4495.9943676431276</v>
      </c>
      <c r="V95" s="29"/>
      <c r="W95" s="13">
        <f>SUM(T95,U95,V93)</f>
        <v>24119.329777686758</v>
      </c>
    </row>
    <row r="96" spans="1:32" ht="12.95" customHeight="1" x14ac:dyDescent="0.2">
      <c r="A96" s="1" t="s">
        <v>222</v>
      </c>
      <c r="B96" s="1" t="s">
        <v>295</v>
      </c>
      <c r="C96" s="8" t="s">
        <v>296</v>
      </c>
      <c r="D96" s="10"/>
      <c r="E96" s="10"/>
      <c r="F96" s="18">
        <f>F205</f>
        <v>5.6726860168289687E-4</v>
      </c>
      <c r="G96" s="12">
        <v>1387666</v>
      </c>
      <c r="H96" s="12">
        <v>17470</v>
      </c>
      <c r="I96" s="13">
        <f t="shared" si="11"/>
        <v>1405136</v>
      </c>
      <c r="J96" s="43">
        <f t="shared" si="12"/>
        <v>1408630</v>
      </c>
      <c r="K96" s="41">
        <f>(F96)*J96*assumptions!$A$3</f>
        <v>519.39652075257641</v>
      </c>
      <c r="L96" s="66">
        <v>98</v>
      </c>
      <c r="M96" s="40">
        <v>98</v>
      </c>
      <c r="N96" s="43">
        <f>(F96)*J96*assumptions!$A$3*('Sorted by Region'!M96/100)</f>
        <v>509.00859033752488</v>
      </c>
      <c r="O96" s="43">
        <f>(F96)*J96*(assumptions!$A$3)*((100-'Sorted by Region'!M96)/100)</f>
        <v>10.387930415051528</v>
      </c>
      <c r="P96" s="43"/>
      <c r="R96" s="5" t="s">
        <v>195</v>
      </c>
      <c r="S96" s="72" t="s">
        <v>434</v>
      </c>
      <c r="T96" s="62">
        <f>N$48*(1-assumptions!E$15)*assumptions!E$9</f>
        <v>4745.7718325121887</v>
      </c>
      <c r="U96" s="62">
        <f>N$48*(assumptions!E$15)*assumptions!E$9*(1-assumptions!F$9)</f>
        <v>7283.5108755818665</v>
      </c>
      <c r="V96" s="59"/>
      <c r="W96" s="59">
        <f>SUM(T96,U96,V93)</f>
        <v>19163.744874684555</v>
      </c>
    </row>
    <row r="97" spans="1:24" ht="12.95" customHeight="1" x14ac:dyDescent="0.2">
      <c r="A97" s="1" t="s">
        <v>222</v>
      </c>
      <c r="B97" s="1" t="s">
        <v>19</v>
      </c>
      <c r="C97" s="8" t="s">
        <v>20</v>
      </c>
      <c r="D97" s="10"/>
      <c r="E97" s="10"/>
      <c r="F97" s="18">
        <f>F205</f>
        <v>5.6726860168289687E-4</v>
      </c>
      <c r="G97" s="12">
        <v>51629</v>
      </c>
      <c r="H97" s="12">
        <v>250</v>
      </c>
      <c r="I97" s="13">
        <f t="shared" si="11"/>
        <v>51879</v>
      </c>
      <c r="J97" s="43">
        <f t="shared" si="12"/>
        <v>51929</v>
      </c>
      <c r="K97" s="41">
        <f>(F97)*J97*assumptions!$A$3</f>
        <v>19.147499290914247</v>
      </c>
      <c r="L97" s="66">
        <v>95</v>
      </c>
      <c r="M97" s="40">
        <v>95</v>
      </c>
      <c r="N97" s="43">
        <f>(F97)*J97*assumptions!$A$3*('Sorted by Region'!M97/100)</f>
        <v>18.190124326368533</v>
      </c>
      <c r="O97" s="43">
        <f>(F97)*J97*(assumptions!$A$3)*((100-'Sorted by Region'!M97)/100)</f>
        <v>0.95737496454571236</v>
      </c>
      <c r="P97" s="43"/>
      <c r="R97" s="5" t="s">
        <v>197</v>
      </c>
      <c r="S97" s="5" t="s">
        <v>208</v>
      </c>
      <c r="T97" s="43">
        <f>N$106*(1-assumptions!B$16)*assumptions!E$9</f>
        <v>1396.9156639831135</v>
      </c>
      <c r="U97" s="43">
        <f>N$106*assumptions!B$16*assumptions!E$9*(1-assumptions!F$9)</f>
        <v>55.876626559324542</v>
      </c>
      <c r="V97" s="13">
        <f>O$106*assumptions!E$9</f>
        <v>851.60390299625431</v>
      </c>
      <c r="W97" s="13">
        <f>SUM(T97,U97,V97)</f>
        <v>2304.3961935386924</v>
      </c>
      <c r="X97" s="13"/>
    </row>
    <row r="98" spans="1:24" ht="12.95" customHeight="1" x14ac:dyDescent="0.2">
      <c r="A98" s="1" t="s">
        <v>222</v>
      </c>
      <c r="B98" s="1" t="s">
        <v>4</v>
      </c>
      <c r="C98" s="8" t="s">
        <v>5</v>
      </c>
      <c r="D98" s="10"/>
      <c r="E98" s="10"/>
      <c r="F98" s="18">
        <f>F205</f>
        <v>5.6726860168289687E-4</v>
      </c>
      <c r="G98" s="12">
        <v>65937</v>
      </c>
      <c r="H98" s="12">
        <v>580</v>
      </c>
      <c r="I98" s="13">
        <f t="shared" si="11"/>
        <v>66517</v>
      </c>
      <c r="J98" s="43">
        <f t="shared" si="12"/>
        <v>66633</v>
      </c>
      <c r="K98" s="41">
        <f>(F98)*J98*assumptions!$A$3</f>
        <v>24.569225678358706</v>
      </c>
      <c r="L98" s="66">
        <v>96</v>
      </c>
      <c r="M98" s="36">
        <v>96</v>
      </c>
      <c r="N98" s="43">
        <f>(F98)*J98*assumptions!$A$3*('Sorted by Region'!M98/100)</f>
        <v>23.586456651224356</v>
      </c>
      <c r="O98" s="43">
        <f>(F98)*J98*(assumptions!$A$3)*((100-'Sorted by Region'!M98)/100)</f>
        <v>0.98276902713434822</v>
      </c>
      <c r="P98" s="43"/>
      <c r="R98" s="5" t="s">
        <v>197</v>
      </c>
      <c r="S98" s="5" t="s">
        <v>209</v>
      </c>
      <c r="T98" s="43">
        <f>N$106*(1-assumptions!C$16)*assumptions!E$9</f>
        <v>1086.4899608757551</v>
      </c>
      <c r="U98" s="43">
        <f>N$106*assumptions!C$16*assumptions!E$9*(1-assumptions!F$9)</f>
        <v>167.62987967797363</v>
      </c>
      <c r="V98" s="29"/>
      <c r="W98" s="13">
        <f>SUM(T98,U98,V97)</f>
        <v>2105.7237435499828</v>
      </c>
    </row>
    <row r="99" spans="1:24" ht="12.95" customHeight="1" x14ac:dyDescent="0.2">
      <c r="A99" s="1" t="s">
        <v>222</v>
      </c>
      <c r="B99" s="1" t="s">
        <v>148</v>
      </c>
      <c r="C99" s="8" t="s">
        <v>149</v>
      </c>
      <c r="D99" s="10"/>
      <c r="E99" s="10"/>
      <c r="F99" s="18">
        <f>F205</f>
        <v>5.6726860168289687E-4</v>
      </c>
      <c r="G99" s="12">
        <v>146762</v>
      </c>
      <c r="H99" s="12">
        <v>1310</v>
      </c>
      <c r="I99" s="13">
        <f t="shared" si="11"/>
        <v>148072</v>
      </c>
      <c r="J99" s="43">
        <f t="shared" si="12"/>
        <v>148334</v>
      </c>
      <c r="K99" s="41">
        <f>(F99)*J99*assumptions!$A$3</f>
        <v>54.694393495320035</v>
      </c>
      <c r="L99" s="66">
        <v>81</v>
      </c>
      <c r="M99" s="36">
        <v>81</v>
      </c>
      <c r="N99" s="43">
        <f>(F99)*J99*assumptions!$A$3*('Sorted by Region'!M99/100)</f>
        <v>44.302458731209235</v>
      </c>
      <c r="O99" s="43">
        <f>(F99)*J99*(assumptions!$A$3)*((100-'Sorted by Region'!M99)/100)</f>
        <v>10.391934764110808</v>
      </c>
      <c r="P99" s="43"/>
      <c r="R99" s="5" t="s">
        <v>197</v>
      </c>
      <c r="S99" s="5" t="s">
        <v>210</v>
      </c>
      <c r="T99" s="43">
        <f>N$106*(1-assumptions!D$16)*assumptions!E$9</f>
        <v>776.06425776839637</v>
      </c>
      <c r="U99" s="43">
        <f>N$106*assumptions!D$16*assumptions!E$9*(1-assumptions!F$9)</f>
        <v>279.3831327966227</v>
      </c>
      <c r="V99" s="29"/>
      <c r="W99" s="13">
        <f>SUM(T99,U99,V97)</f>
        <v>1907.0512935612733</v>
      </c>
    </row>
    <row r="100" spans="1:24" ht="12.95" customHeight="1" x14ac:dyDescent="0.2">
      <c r="A100" s="1" t="s">
        <v>222</v>
      </c>
      <c r="B100" s="1" t="s">
        <v>287</v>
      </c>
      <c r="C100" s="8" t="s">
        <v>288</v>
      </c>
      <c r="D100" s="10"/>
      <c r="E100" s="11"/>
      <c r="F100" s="18">
        <f>F205</f>
        <v>5.6726860168289687E-4</v>
      </c>
      <c r="G100" s="12">
        <v>5336931</v>
      </c>
      <c r="H100" s="12">
        <v>257730</v>
      </c>
      <c r="I100" s="13">
        <f t="shared" si="11"/>
        <v>5594661</v>
      </c>
      <c r="J100" s="43">
        <f t="shared" si="12"/>
        <v>5646207</v>
      </c>
      <c r="K100" s="41">
        <f>(F100)*J100*assumptions!$A$3</f>
        <v>2081.8953673064198</v>
      </c>
      <c r="L100" s="66">
        <v>61</v>
      </c>
      <c r="M100" s="36">
        <v>61</v>
      </c>
      <c r="N100" s="43">
        <f>(F100)*J100*assumptions!$A$3*('Sorted by Region'!M100/100)</f>
        <v>1269.9561740569161</v>
      </c>
      <c r="O100" s="43">
        <f>(F100)*J100*(assumptions!$A$3)*((100-'Sorted by Region'!M100)/100)</f>
        <v>811.93919324950377</v>
      </c>
      <c r="P100" s="43"/>
      <c r="R100" s="5" t="s">
        <v>197</v>
      </c>
      <c r="S100" s="72" t="s">
        <v>434</v>
      </c>
      <c r="T100" s="62">
        <f>N$106*(1-assumptions!E$16)*assumptions!E$9</f>
        <v>294.90441795199058</v>
      </c>
      <c r="U100" s="62">
        <f>N$106*assumptions!E$16*assumptions!E$9*(1-assumptions!F$9)</f>
        <v>452.60067513052883</v>
      </c>
      <c r="V100" s="59"/>
      <c r="W100" s="59">
        <f>SUM(T100,U100,V97)</f>
        <v>1599.1089960787735</v>
      </c>
    </row>
    <row r="101" spans="1:24" ht="12.95" customHeight="1" x14ac:dyDescent="0.2">
      <c r="A101" s="1" t="s">
        <v>222</v>
      </c>
      <c r="B101" s="1" t="s">
        <v>33</v>
      </c>
      <c r="C101" s="8" t="s">
        <v>34</v>
      </c>
      <c r="D101" s="10"/>
      <c r="E101" s="10"/>
      <c r="F101" s="18">
        <f>F205</f>
        <v>5.6726860168289687E-4</v>
      </c>
      <c r="G101" s="12">
        <v>14979</v>
      </c>
      <c r="H101" s="12">
        <v>130</v>
      </c>
      <c r="I101" s="13">
        <f t="shared" si="11"/>
        <v>15109</v>
      </c>
      <c r="J101" s="43">
        <f t="shared" si="12"/>
        <v>15135</v>
      </c>
      <c r="K101" s="41">
        <f>(F101)*J101*assumptions!$A$3</f>
        <v>5.5806466862059185</v>
      </c>
      <c r="L101" s="66"/>
      <c r="M101" s="35">
        <v>87</v>
      </c>
      <c r="N101" s="43">
        <f>(F101)*J101*assumptions!$A$3*('Sorted by Region'!M101/100)</f>
        <v>4.8551626169991495</v>
      </c>
      <c r="O101" s="43">
        <f>(F101)*J101*(assumptions!$A$3)*((100-'Sorted by Region'!M101)/100)</f>
        <v>0.72548406920676944</v>
      </c>
      <c r="P101" s="43"/>
      <c r="R101" s="5" t="s">
        <v>198</v>
      </c>
      <c r="S101" s="5" t="s">
        <v>208</v>
      </c>
      <c r="T101" s="43">
        <f>N$160*(1-assumptions!B$17)*assumptions!E$9</f>
        <v>631.14941073633145</v>
      </c>
      <c r="U101" s="43">
        <f>N$160*assumptions!B$17*assumptions!E$9*(1-assumptions!F$9)</f>
        <v>227.21378786507933</v>
      </c>
      <c r="V101" s="13">
        <f>O$160*assumptions!E$9</f>
        <v>33.812676320166403</v>
      </c>
      <c r="W101" s="13">
        <f>SUM(T101,U101,V101)</f>
        <v>892.17587492157713</v>
      </c>
      <c r="X101" s="13"/>
    </row>
    <row r="102" spans="1:24" ht="12.95" customHeight="1" x14ac:dyDescent="0.2">
      <c r="A102" s="1" t="s">
        <v>222</v>
      </c>
      <c r="B102" s="1" t="s">
        <v>312</v>
      </c>
      <c r="C102" s="8" t="s">
        <v>313</v>
      </c>
      <c r="D102" s="10"/>
      <c r="E102" s="10"/>
      <c r="F102" s="18">
        <f>F205</f>
        <v>5.6726860168289687E-4</v>
      </c>
      <c r="G102" s="12">
        <v>395343</v>
      </c>
      <c r="H102" s="12">
        <v>12250</v>
      </c>
      <c r="I102" s="13">
        <f t="shared" si="11"/>
        <v>407593</v>
      </c>
      <c r="J102" s="43">
        <f t="shared" si="12"/>
        <v>410043</v>
      </c>
      <c r="K102" s="41">
        <f>(F102)*J102*assumptions!$A$3</f>
        <v>151.19293750590907</v>
      </c>
      <c r="L102" s="66">
        <v>26</v>
      </c>
      <c r="M102" s="36">
        <v>26</v>
      </c>
      <c r="N102" s="43">
        <f>(F102)*J102*assumptions!$A$3*('Sorted by Region'!M102/100)</f>
        <v>39.310163751536358</v>
      </c>
      <c r="O102" s="43">
        <f>(F102)*J102*(assumptions!$A$3)*((100-'Sorted by Region'!M102)/100)</f>
        <v>111.88277375437271</v>
      </c>
      <c r="P102" s="43"/>
      <c r="R102" s="5" t="s">
        <v>198</v>
      </c>
      <c r="S102" s="5" t="s">
        <v>209</v>
      </c>
      <c r="T102" s="43">
        <f>N$160*(1-assumptions!C$17)*assumptions!E$9</f>
        <v>378.68964644179891</v>
      </c>
      <c r="U102" s="43">
        <f>N$160*assumptions!C$17*assumptions!E$9*(1-assumptions!F$9)</f>
        <v>318.09930301111103</v>
      </c>
      <c r="V102" s="29"/>
      <c r="W102" s="13">
        <f>SUM(T102,U102,V101)</f>
        <v>730.60162577307631</v>
      </c>
    </row>
    <row r="103" spans="1:24" ht="12.95" customHeight="1" x14ac:dyDescent="0.2">
      <c r="A103" s="1" t="s">
        <v>222</v>
      </c>
      <c r="B103" s="1" t="s">
        <v>180</v>
      </c>
      <c r="C103" s="8" t="s">
        <v>181</v>
      </c>
      <c r="D103" s="10"/>
      <c r="E103" s="10"/>
      <c r="F103" s="18">
        <f>F205</f>
        <v>5.6726860168289687E-4</v>
      </c>
      <c r="G103" s="12">
        <v>590217</v>
      </c>
      <c r="H103" s="12">
        <v>7380</v>
      </c>
      <c r="I103" s="13">
        <f t="shared" si="11"/>
        <v>597597</v>
      </c>
      <c r="J103" s="43">
        <f t="shared" si="12"/>
        <v>599073</v>
      </c>
      <c r="K103" s="41">
        <f>(F103)*J103*assumptions!$A$3</f>
        <v>220.89294696038576</v>
      </c>
      <c r="L103" s="66">
        <v>84</v>
      </c>
      <c r="M103" s="36">
        <v>84</v>
      </c>
      <c r="N103" s="43">
        <f>(F103)*J103*assumptions!$A$3*('Sorted by Region'!M103/100)</f>
        <v>185.55007544672404</v>
      </c>
      <c r="O103" s="43">
        <f>(F103)*J103*(assumptions!$A$3)*((100-'Sorted by Region'!M103)/100)</f>
        <v>35.34287151366172</v>
      </c>
      <c r="P103" s="43"/>
      <c r="R103" s="5" t="s">
        <v>198</v>
      </c>
      <c r="S103" s="5" t="s">
        <v>210</v>
      </c>
      <c r="T103" s="43">
        <f>N$160*(1-assumptions!D$17)*assumptions!E$9</f>
        <v>126.22988214726628</v>
      </c>
      <c r="U103" s="43">
        <f>N$160*assumptions!D$17*assumptions!E$9*(1-assumptions!F$9)</f>
        <v>408.9848181571428</v>
      </c>
      <c r="V103" s="29"/>
      <c r="W103" s="13">
        <f>SUM(T103,U103,V101)</f>
        <v>569.02737662457548</v>
      </c>
    </row>
    <row r="104" spans="1:24" ht="12.95" customHeight="1" x14ac:dyDescent="0.2">
      <c r="A104" s="1" t="s">
        <v>222</v>
      </c>
      <c r="B104" s="1" t="s">
        <v>320</v>
      </c>
      <c r="C104" s="8" t="s">
        <v>321</v>
      </c>
      <c r="D104" s="10"/>
      <c r="E104" s="10"/>
      <c r="F104" s="18">
        <f>F205</f>
        <v>5.6726860168289687E-4</v>
      </c>
      <c r="G104" s="12">
        <v>163592</v>
      </c>
      <c r="H104" s="12">
        <v>1840</v>
      </c>
      <c r="I104" s="13">
        <f t="shared" si="11"/>
        <v>165432</v>
      </c>
      <c r="J104" s="43">
        <f t="shared" si="12"/>
        <v>165800</v>
      </c>
      <c r="K104" s="41">
        <f>(F104)*J104*assumptions!$A$3</f>
        <v>61.134537203365795</v>
      </c>
      <c r="L104" s="66">
        <v>96</v>
      </c>
      <c r="M104" s="40">
        <v>96</v>
      </c>
      <c r="N104" s="43">
        <f>(F104)*J104*assumptions!$A$3*('Sorted by Region'!M104/100)</f>
        <v>58.689155715231159</v>
      </c>
      <c r="O104" s="43">
        <f>(F104)*J104*(assumptions!$A$3)*((100-'Sorted by Region'!M104)/100)</f>
        <v>2.4453814881346321</v>
      </c>
      <c r="P104" s="43"/>
      <c r="R104" s="5" t="s">
        <v>198</v>
      </c>
      <c r="S104" s="72" t="s">
        <v>434</v>
      </c>
      <c r="T104" s="62">
        <f>N$160*(1-assumptions!E$17)*assumptions!E$9</f>
        <v>126.22988214726628</v>
      </c>
      <c r="U104" s="62">
        <f>N$160*assumptions!E$17*assumptions!E$9*(1-assumptions!F$9)</f>
        <v>408.9848181571428</v>
      </c>
      <c r="V104" s="59"/>
      <c r="W104" s="59">
        <f>SUM(T104,U104,V101)</f>
        <v>569.02737662457548</v>
      </c>
    </row>
    <row r="105" spans="1:24" ht="12.95" customHeight="1" x14ac:dyDescent="0.2">
      <c r="A105" s="1" t="s">
        <v>222</v>
      </c>
      <c r="B105" s="1" t="s">
        <v>388</v>
      </c>
      <c r="C105" s="8" t="s">
        <v>389</v>
      </c>
      <c r="D105" s="10"/>
      <c r="E105" s="10"/>
      <c r="F105" s="18">
        <f>F205</f>
        <v>5.6726860168289687E-4</v>
      </c>
      <c r="G105" s="12">
        <v>845843</v>
      </c>
      <c r="H105" s="12">
        <v>20210</v>
      </c>
      <c r="I105" s="13">
        <f t="shared" si="11"/>
        <v>866053</v>
      </c>
      <c r="J105" s="43">
        <f t="shared" si="12"/>
        <v>870095</v>
      </c>
      <c r="K105" s="41">
        <f>(F105)*J105*assumptions!$A$3</f>
        <v>320.82542308783206</v>
      </c>
      <c r="L105" s="66">
        <v>47</v>
      </c>
      <c r="M105" s="36">
        <v>47</v>
      </c>
      <c r="N105" s="43">
        <f>(F105)*J105*assumptions!$A$3*('Sorted by Region'!M105/100)</f>
        <v>150.78794885128107</v>
      </c>
      <c r="O105" s="43">
        <f>(F105)*J105*(assumptions!$A$3)*((100-'Sorted by Region'!M105)/100)</f>
        <v>170.03747423655099</v>
      </c>
      <c r="P105" s="43"/>
      <c r="R105" s="5" t="s">
        <v>207</v>
      </c>
      <c r="S105" s="5" t="s">
        <v>208</v>
      </c>
      <c r="T105" s="43">
        <f>N$84*(1-assumptions!B$18)*assumptions!E$9</f>
        <v>3606.9174833182547</v>
      </c>
      <c r="U105" s="43">
        <f>N$84*assumptions!B$18*assumptions!E$9*(1-assumptions!F$9)</f>
        <v>865.66019599638128</v>
      </c>
      <c r="V105" s="13">
        <f>O$84*assumptions!E$9</f>
        <v>378.46249021046253</v>
      </c>
      <c r="W105" s="13">
        <f>SUM(T105,U105,V105)</f>
        <v>4851.0401695250985</v>
      </c>
      <c r="X105" s="13"/>
    </row>
    <row r="106" spans="1:24" ht="12.95" customHeight="1" x14ac:dyDescent="0.2">
      <c r="A106" s="1"/>
      <c r="B106" s="1"/>
      <c r="C106" s="8"/>
      <c r="D106" s="10"/>
      <c r="E106" s="10"/>
      <c r="F106" s="4"/>
      <c r="G106" s="12"/>
      <c r="H106" s="12"/>
      <c r="I106" s="13"/>
      <c r="J106" s="43"/>
      <c r="K106" s="42">
        <f>SUM(K85:K105)</f>
        <v>40062.206975550791</v>
      </c>
      <c r="L106" s="66"/>
      <c r="M106" s="36"/>
      <c r="N106" s="49">
        <f>SUM(N85:N105)</f>
        <v>25868.808592279882</v>
      </c>
      <c r="O106" s="49">
        <f>SUM(O85:O105)</f>
        <v>14193.398383270905</v>
      </c>
      <c r="P106" s="49"/>
      <c r="R106" s="5" t="s">
        <v>207</v>
      </c>
      <c r="S106" s="5" t="s">
        <v>209</v>
      </c>
      <c r="T106" s="43">
        <f>N$84*(1-assumptions!C$18)*assumptions!E$9</f>
        <v>2404.6116555455037</v>
      </c>
      <c r="U106" s="43">
        <f>N$84*assumptions!C$18*assumptions!E$9*(1-assumptions!F$9)</f>
        <v>1298.4902939945716</v>
      </c>
      <c r="V106" s="29"/>
      <c r="W106" s="13">
        <f>SUM(T106,U106,V105)</f>
        <v>4081.5644397505375</v>
      </c>
    </row>
    <row r="107" spans="1:24" ht="12.95" customHeight="1" x14ac:dyDescent="0.2">
      <c r="A107" s="1" t="s">
        <v>55</v>
      </c>
      <c r="B107" s="1" t="s">
        <v>116</v>
      </c>
      <c r="C107" s="8" t="s">
        <v>117</v>
      </c>
      <c r="D107" s="10">
        <v>8.6038999131788282E-5</v>
      </c>
      <c r="E107" s="10"/>
      <c r="F107" s="10">
        <v>8.6038999131788282E-5</v>
      </c>
      <c r="G107" s="12">
        <v>165710</v>
      </c>
      <c r="H107" s="12">
        <v>2140</v>
      </c>
      <c r="I107" s="13">
        <f t="shared" ref="I107:I138" si="14">SUM(G107+H107)</f>
        <v>167850</v>
      </c>
      <c r="J107" s="43">
        <f t="shared" ref="J107:J138" si="15">G107+H107+(0.2*H107)</f>
        <v>168278</v>
      </c>
      <c r="K107" s="41">
        <f>(F107)*J107*assumptions!$A$3</f>
        <v>9.4110059523343939</v>
      </c>
      <c r="L107" s="66">
        <v>77</v>
      </c>
      <c r="M107" s="36">
        <v>77</v>
      </c>
      <c r="N107" s="43">
        <f>(F107)*J107*assumptions!$A$3*('Sorted by Region'!M107/100)</f>
        <v>7.2464745832974833</v>
      </c>
      <c r="O107" s="43">
        <f>(F107)*J107*(assumptions!$A$3)*((100-'Sorted by Region'!M107)/100)</f>
        <v>2.1645313690369106</v>
      </c>
      <c r="P107" s="43"/>
      <c r="R107" s="5" t="s">
        <v>207</v>
      </c>
      <c r="S107" s="5" t="s">
        <v>210</v>
      </c>
      <c r="T107" s="43">
        <f>N$84*(1-assumptions!D$18)*assumptions!E$9</f>
        <v>1202.3058277727514</v>
      </c>
      <c r="U107" s="43">
        <f>N$84*assumptions!D$18*assumptions!E$9*(1-assumptions!F$9)</f>
        <v>1731.3203919927626</v>
      </c>
      <c r="V107" s="29"/>
      <c r="W107" s="13">
        <f>SUM(T107,U107,V105)</f>
        <v>3312.0887099759766</v>
      </c>
    </row>
    <row r="108" spans="1:24" ht="12.95" customHeight="1" x14ac:dyDescent="0.2">
      <c r="A108" s="1" t="s">
        <v>55</v>
      </c>
      <c r="B108" s="1" t="s">
        <v>144</v>
      </c>
      <c r="C108" s="8" t="s">
        <v>145</v>
      </c>
      <c r="D108" s="10">
        <v>2.4252419178813088E-4</v>
      </c>
      <c r="E108" s="10">
        <v>7.9195374990100574E-4</v>
      </c>
      <c r="F108" s="10">
        <v>2.4252419178813088E-4</v>
      </c>
      <c r="G108" s="12">
        <v>120261</v>
      </c>
      <c r="H108" s="12">
        <v>1230</v>
      </c>
      <c r="I108" s="13">
        <f t="shared" si="14"/>
        <v>121491</v>
      </c>
      <c r="J108" s="43">
        <f t="shared" si="15"/>
        <v>121737</v>
      </c>
      <c r="K108" s="41">
        <f>(F108)*J108*assumptions!$A$3</f>
        <v>19.190708898212598</v>
      </c>
      <c r="L108" s="66">
        <v>97</v>
      </c>
      <c r="M108" s="36">
        <v>97</v>
      </c>
      <c r="N108" s="43">
        <f>(F108)*J108*assumptions!$A$3*('Sorted by Region'!M108/100)</f>
        <v>18.614987631266221</v>
      </c>
      <c r="O108" s="43">
        <f>(F108)*J108*(assumptions!$A$3)*((100-'Sorted by Region'!M108)/100)</f>
        <v>0.57572126694637793</v>
      </c>
      <c r="P108" s="43"/>
      <c r="R108" s="5" t="s">
        <v>207</v>
      </c>
      <c r="S108" s="72" t="s">
        <v>434</v>
      </c>
      <c r="T108" s="62">
        <f>N$84*(1-assumptions!E$18)*assumptions!E$9</f>
        <v>1142.1905363841138</v>
      </c>
      <c r="U108" s="62">
        <f>N$84*assumptions!E$18*assumptions!E$9*(1-assumptions!F$9)</f>
        <v>1752.961896892672</v>
      </c>
      <c r="V108" s="59"/>
      <c r="W108" s="59">
        <f>SUM(T108,U108,V105)</f>
        <v>3273.6149234872482</v>
      </c>
    </row>
    <row r="109" spans="1:24" ht="12.95" customHeight="1" x14ac:dyDescent="0.2">
      <c r="A109" s="1" t="s">
        <v>55</v>
      </c>
      <c r="B109" s="1" t="s">
        <v>120</v>
      </c>
      <c r="C109" s="8" t="s">
        <v>121</v>
      </c>
      <c r="D109" s="10">
        <v>6.3540038810942626E-4</v>
      </c>
      <c r="E109" s="10">
        <v>5.6538624630647974E-4</v>
      </c>
      <c r="F109" s="10">
        <v>5.6538624630647974E-4</v>
      </c>
      <c r="G109" s="12">
        <v>96305</v>
      </c>
      <c r="H109" s="12">
        <v>350</v>
      </c>
      <c r="I109" s="13">
        <f t="shared" si="14"/>
        <v>96655</v>
      </c>
      <c r="J109" s="43">
        <f t="shared" si="15"/>
        <v>96725</v>
      </c>
      <c r="K109" s="41">
        <f>(F109)*J109*assumptions!$A$3</f>
        <v>35.546540038096268</v>
      </c>
      <c r="L109" s="66">
        <v>99</v>
      </c>
      <c r="M109" s="36">
        <v>99</v>
      </c>
      <c r="N109" s="43">
        <f>(F109)*J109*assumptions!$A$3*('Sorted by Region'!M109/100)</f>
        <v>35.191074637715303</v>
      </c>
      <c r="O109" s="43">
        <f>(F109)*J109*(assumptions!$A$3)*((100-'Sorted by Region'!M109)/100)</f>
        <v>0.35546540038096269</v>
      </c>
      <c r="P109" s="43"/>
      <c r="R109" s="5" t="s">
        <v>199</v>
      </c>
      <c r="S109" s="5" t="s">
        <v>208</v>
      </c>
      <c r="T109" s="43">
        <f>N$172*(1-assumptions!B$19)*assumptions!E$9</f>
        <v>22736.265809444332</v>
      </c>
      <c r="U109" s="43">
        <f>N$172*assumptions!B$19*assumptions!E$9*(1-assumptions!F$9)</f>
        <v>2046.2639228499897</v>
      </c>
      <c r="V109" s="30">
        <f>O$172*assumptions!E$9</f>
        <v>7777.2628804076785</v>
      </c>
      <c r="W109" s="13">
        <f>SUM(T109,U109,V109)</f>
        <v>32559.792612702</v>
      </c>
      <c r="X109" s="13"/>
    </row>
    <row r="110" spans="1:24" ht="12.95" customHeight="1" x14ac:dyDescent="0.2">
      <c r="A110" s="1" t="s">
        <v>55</v>
      </c>
      <c r="B110" s="1" t="s">
        <v>106</v>
      </c>
      <c r="C110" s="8" t="s">
        <v>107</v>
      </c>
      <c r="D110" s="10">
        <v>7.4674920590256551E-4</v>
      </c>
      <c r="E110" s="10"/>
      <c r="F110" s="10">
        <v>7.4674920590256551E-4</v>
      </c>
      <c r="G110" s="12">
        <v>185074</v>
      </c>
      <c r="H110" s="12">
        <v>610</v>
      </c>
      <c r="I110" s="13">
        <f t="shared" si="14"/>
        <v>185684</v>
      </c>
      <c r="J110" s="43">
        <f t="shared" si="15"/>
        <v>185806</v>
      </c>
      <c r="K110" s="41">
        <f>(F110)*J110*assumptions!$A$3</f>
        <v>90.187813918755865</v>
      </c>
      <c r="L110" s="66"/>
      <c r="M110" s="35">
        <v>98</v>
      </c>
      <c r="N110" s="43">
        <f>(F110)*J110*assumptions!$A$3*('Sorted by Region'!M110/100)</f>
        <v>88.384057640380746</v>
      </c>
      <c r="O110" s="43">
        <f>(F110)*J110*(assumptions!$A$3)*((100-'Sorted by Region'!M110)/100)</f>
        <v>1.8037562783751173</v>
      </c>
      <c r="P110" s="43"/>
      <c r="R110" s="5" t="s">
        <v>199</v>
      </c>
      <c r="S110" s="5" t="s">
        <v>209</v>
      </c>
      <c r="T110" s="43">
        <f>N$172*(1-assumptions!C$19)*assumptions!E$9</f>
        <v>17052.199357083246</v>
      </c>
      <c r="U110" s="43">
        <f>N$172*assumptions!C$19*assumptions!E$9*(1-assumptions!F$9)</f>
        <v>4092.5278456999795</v>
      </c>
      <c r="V110" s="29"/>
      <c r="W110" s="13">
        <f>SUM(T110,U110,V109)</f>
        <v>28921.990083190904</v>
      </c>
    </row>
    <row r="111" spans="1:24" ht="12.95" customHeight="1" x14ac:dyDescent="0.2">
      <c r="A111" s="1" t="s">
        <v>55</v>
      </c>
      <c r="B111" s="1" t="s">
        <v>130</v>
      </c>
      <c r="C111" s="8" t="s">
        <v>131</v>
      </c>
      <c r="D111" s="10"/>
      <c r="E111" s="10">
        <v>9.1359958235447667E-4</v>
      </c>
      <c r="F111" s="10">
        <v>9.1359958235447667E-4</v>
      </c>
      <c r="G111" s="12">
        <v>109092</v>
      </c>
      <c r="H111" s="12">
        <v>250</v>
      </c>
      <c r="I111" s="13">
        <f t="shared" si="14"/>
        <v>109342</v>
      </c>
      <c r="J111" s="43">
        <f t="shared" si="15"/>
        <v>109392</v>
      </c>
      <c r="K111" s="41">
        <f>(F111)*J111*assumptions!$A$3</f>
        <v>64.961315583398601</v>
      </c>
      <c r="L111" s="66">
        <v>99</v>
      </c>
      <c r="M111" s="40">
        <v>99</v>
      </c>
      <c r="N111" s="43">
        <f>(F111)*J111*assumptions!$A$3*('Sorted by Region'!M111/100)</f>
        <v>64.311702427564612</v>
      </c>
      <c r="O111" s="43">
        <f>(F111)*J111*(assumptions!$A$3)*((100-'Sorted by Region'!M111)/100)</f>
        <v>0.64961315583398604</v>
      </c>
      <c r="P111" s="43"/>
      <c r="R111" s="5" t="s">
        <v>199</v>
      </c>
      <c r="S111" s="5" t="s">
        <v>210</v>
      </c>
      <c r="T111" s="43">
        <f>N$172*(1-assumptions!D$19)*assumptions!E$9</f>
        <v>11368.132904722166</v>
      </c>
      <c r="U111" s="43">
        <f>N$172*assumptions!D$19*assumptions!E$9*(1-assumptions!F$9)</f>
        <v>6138.7917685499679</v>
      </c>
      <c r="V111" s="29"/>
      <c r="W111" s="13">
        <f>SUM(T111,U111,V109)</f>
        <v>25284.187553679811</v>
      </c>
    </row>
    <row r="112" spans="1:24" ht="12.95" customHeight="1" x14ac:dyDescent="0.2">
      <c r="A112" s="1" t="s">
        <v>55</v>
      </c>
      <c r="B112" s="1" t="s">
        <v>94</v>
      </c>
      <c r="C112" s="8" t="s">
        <v>95</v>
      </c>
      <c r="D112" s="10">
        <v>1.1875843454790824E-3</v>
      </c>
      <c r="E112" s="10"/>
      <c r="F112" s="10">
        <v>1.1875843454790824E-3</v>
      </c>
      <c r="G112" s="12">
        <v>52174</v>
      </c>
      <c r="H112" s="12">
        <v>900</v>
      </c>
      <c r="I112" s="13">
        <f t="shared" si="14"/>
        <v>53074</v>
      </c>
      <c r="J112" s="43">
        <f t="shared" si="15"/>
        <v>53254</v>
      </c>
      <c r="K112" s="41">
        <f>(F112)*J112*assumptions!$A$3</f>
        <v>41.108350877192983</v>
      </c>
      <c r="L112" s="66">
        <v>94</v>
      </c>
      <c r="M112" s="36">
        <v>94</v>
      </c>
      <c r="N112" s="43">
        <f>(F112)*J112*assumptions!$A$3*('Sorted by Region'!M112/100)</f>
        <v>38.641849824561405</v>
      </c>
      <c r="O112" s="43">
        <f>(F112)*J112*(assumptions!$A$3)*((100-'Sorted by Region'!M112)/100)</f>
        <v>2.4665010526315787</v>
      </c>
      <c r="P112" s="43"/>
      <c r="R112" s="5" t="s">
        <v>199</v>
      </c>
      <c r="S112" s="72" t="s">
        <v>434</v>
      </c>
      <c r="T112" s="62">
        <f>N$172*(1-assumptions!E$19)*assumptions!E$9</f>
        <v>5399.8631297430275</v>
      </c>
      <c r="U112" s="62">
        <f>N$172*assumptions!E$19*assumptions!E$9*(1-assumptions!F$9)</f>
        <v>8287.3688875424596</v>
      </c>
      <c r="V112" s="59"/>
      <c r="W112" s="59">
        <f>SUM(T112,U112,V109)</f>
        <v>21464.494897693166</v>
      </c>
    </row>
    <row r="113" spans="1:29" ht="12.95" customHeight="1" x14ac:dyDescent="0.2">
      <c r="A113" s="1" t="s">
        <v>55</v>
      </c>
      <c r="B113" s="1" t="s">
        <v>45</v>
      </c>
      <c r="C113" s="8" t="s">
        <v>428</v>
      </c>
      <c r="D113" s="10">
        <v>1.5556029786708298E-3</v>
      </c>
      <c r="E113" s="10">
        <v>1.7111177020830005E-3</v>
      </c>
      <c r="F113" s="10">
        <v>1.5556029786708298E-3</v>
      </c>
      <c r="G113" s="12">
        <v>742993</v>
      </c>
      <c r="H113" s="12">
        <v>2610</v>
      </c>
      <c r="I113" s="13">
        <f t="shared" si="14"/>
        <v>745603</v>
      </c>
      <c r="J113" s="43">
        <f t="shared" si="15"/>
        <v>746125</v>
      </c>
      <c r="K113" s="41">
        <f>(F113)*J113*assumptions!$A$3</f>
        <v>754.43827709950244</v>
      </c>
      <c r="L113" s="66"/>
      <c r="M113" s="35">
        <v>98</v>
      </c>
      <c r="N113" s="43">
        <f>(F113)*J113*assumptions!$A$3*('Sorted by Region'!M113/100)</f>
        <v>739.34951155751241</v>
      </c>
      <c r="O113" s="43">
        <f>(F113)*J113*(assumptions!$A$3)*((100-'Sorted by Region'!M113)/100)</f>
        <v>15.08876554199005</v>
      </c>
      <c r="P113" s="43"/>
      <c r="R113" s="5" t="s">
        <v>200</v>
      </c>
      <c r="S113" s="5" t="s">
        <v>208</v>
      </c>
      <c r="T113" s="43">
        <f>N$200*(1-assumptions!B$20)*assumptions!E$9</f>
        <v>1748.5052556176465</v>
      </c>
      <c r="U113" s="43">
        <f>N$200*assumptions!B$20*assumptions!E$9*(1-assumptions!F$9)</f>
        <v>419.64126134823522</v>
      </c>
      <c r="V113" s="13">
        <f>O$200*assumptions!E$9</f>
        <v>315.3052136680796</v>
      </c>
      <c r="W113" s="13">
        <f>SUM(T113,U113,V113)</f>
        <v>2483.4517306339612</v>
      </c>
      <c r="X113" s="13"/>
    </row>
    <row r="114" spans="1:29" ht="12.95" customHeight="1" x14ac:dyDescent="0.2">
      <c r="A114" s="1" t="s">
        <v>55</v>
      </c>
      <c r="B114" s="1" t="s">
        <v>100</v>
      </c>
      <c r="C114" s="8" t="s">
        <v>101</v>
      </c>
      <c r="D114" s="10">
        <v>2.7353841477975815E-3</v>
      </c>
      <c r="E114" s="10">
        <v>2.5901617753583423E-3</v>
      </c>
      <c r="F114" s="10">
        <v>2.7353841477975815E-3</v>
      </c>
      <c r="G114" s="12">
        <v>44931</v>
      </c>
      <c r="H114" s="12">
        <v>350</v>
      </c>
      <c r="I114" s="13">
        <f t="shared" si="14"/>
        <v>45281</v>
      </c>
      <c r="J114" s="43">
        <f t="shared" si="15"/>
        <v>45351</v>
      </c>
      <c r="K114" s="41">
        <f>(F114)*J114*assumptions!$A$3</f>
        <v>80.634064216399281</v>
      </c>
      <c r="L114" s="66">
        <v>98</v>
      </c>
      <c r="M114" s="36">
        <v>98</v>
      </c>
      <c r="N114" s="43">
        <f>(F114)*J114*assumptions!$A$3*('Sorted by Region'!M114/100)</f>
        <v>79.02138293207129</v>
      </c>
      <c r="O114" s="43">
        <f>(F114)*J114*(assumptions!$A$3)*((100-'Sorted by Region'!M114)/100)</f>
        <v>1.6126812843279856</v>
      </c>
      <c r="P114" s="43"/>
      <c r="R114" s="5" t="s">
        <v>200</v>
      </c>
      <c r="S114" s="5" t="s">
        <v>209</v>
      </c>
      <c r="T114" s="43">
        <f>N$200*(1-assumptions!C$20)*assumptions!E$9</f>
        <v>1165.6701704117645</v>
      </c>
      <c r="U114" s="43">
        <f>N$200*assumptions!C$20*assumptions!E$9*(1-assumptions!F$9)</f>
        <v>629.46189202235269</v>
      </c>
      <c r="V114" s="29"/>
      <c r="W114" s="13">
        <f>SUM(T114,U114,V113)</f>
        <v>2110.4372761021968</v>
      </c>
    </row>
    <row r="115" spans="1:29" ht="12.95" customHeight="1" x14ac:dyDescent="0.2">
      <c r="A115" s="1" t="s">
        <v>55</v>
      </c>
      <c r="B115" s="1" t="s">
        <v>249</v>
      </c>
      <c r="C115" s="8" t="s">
        <v>250</v>
      </c>
      <c r="D115" s="10"/>
      <c r="E115" s="10">
        <v>3.3716779055930186E-3</v>
      </c>
      <c r="F115" s="10">
        <v>3.3716779055930186E-3</v>
      </c>
      <c r="G115" s="12">
        <v>665902</v>
      </c>
      <c r="H115" s="12">
        <v>1630</v>
      </c>
      <c r="I115" s="13">
        <f t="shared" si="14"/>
        <v>667532</v>
      </c>
      <c r="J115" s="43">
        <f t="shared" si="15"/>
        <v>667858</v>
      </c>
      <c r="K115" s="41">
        <f>(F115)*J115*assumptions!$A$3</f>
        <v>1463.6713407378024</v>
      </c>
      <c r="L115" s="66"/>
      <c r="M115" s="35">
        <v>98</v>
      </c>
      <c r="N115" s="43">
        <f>(F115)*J115*assumptions!$A$3*('Sorted by Region'!M115/100)</f>
        <v>1434.3979139230464</v>
      </c>
      <c r="O115" s="43">
        <f>(F115)*J115*(assumptions!$A$3)*((100-'Sorted by Region'!M115)/100)</f>
        <v>29.27342681475605</v>
      </c>
      <c r="P115" s="43"/>
      <c r="R115" s="5" t="s">
        <v>200</v>
      </c>
      <c r="S115" s="5" t="s">
        <v>210</v>
      </c>
      <c r="T115" s="43">
        <f>N$200*(1-assumptions!D$20)*assumptions!E$9</f>
        <v>582.83508520588202</v>
      </c>
      <c r="U115" s="43">
        <f>N$200*assumptions!D$20*assumptions!E$9*(1-assumptions!F$9)</f>
        <v>839.28252269647044</v>
      </c>
      <c r="V115" s="29"/>
      <c r="W115" s="13">
        <f>SUM(T115,U115,V113)</f>
        <v>1737.4228215704322</v>
      </c>
    </row>
    <row r="116" spans="1:29" ht="12.95" customHeight="1" x14ac:dyDescent="0.2">
      <c r="A116" s="1" t="s">
        <v>55</v>
      </c>
      <c r="B116" s="1" t="s">
        <v>256</v>
      </c>
      <c r="C116" s="8" t="s">
        <v>257</v>
      </c>
      <c r="D116" s="10">
        <v>8.3655083655083656E-3</v>
      </c>
      <c r="E116" s="10"/>
      <c r="F116" s="10">
        <v>8.3655083655083656E-3</v>
      </c>
      <c r="G116" s="12">
        <v>192835</v>
      </c>
      <c r="H116" s="12">
        <v>2380</v>
      </c>
      <c r="I116" s="13">
        <f t="shared" si="14"/>
        <v>195215</v>
      </c>
      <c r="J116" s="43">
        <f t="shared" si="15"/>
        <v>195691</v>
      </c>
      <c r="K116" s="41">
        <f>(F116)*J116*assumptions!$A$3</f>
        <v>1064.0855534105535</v>
      </c>
      <c r="L116" s="66">
        <v>89</v>
      </c>
      <c r="M116" s="40">
        <v>89</v>
      </c>
      <c r="N116" s="43">
        <f>(F116)*J116*assumptions!$A$3*('Sorted by Region'!M116/100)</f>
        <v>947.03614253539263</v>
      </c>
      <c r="O116" s="43">
        <f>(F116)*J116*(assumptions!$A$3)*((100-'Sorted by Region'!M116)/100)</f>
        <v>117.04941087516089</v>
      </c>
      <c r="P116" s="43"/>
      <c r="R116" s="5" t="s">
        <v>200</v>
      </c>
      <c r="S116" s="72" t="s">
        <v>434</v>
      </c>
      <c r="T116" s="62">
        <f>N$200*(1-assumptions!E$20)*assumptions!E$9</f>
        <v>553.69333094558795</v>
      </c>
      <c r="U116" s="62">
        <f>N$200*assumptions!E$20*assumptions!E$9*(1-assumptions!F$9)</f>
        <v>849.77355423017639</v>
      </c>
      <c r="V116" s="59"/>
      <c r="W116" s="59">
        <f>SUM(T116,U116,V113)</f>
        <v>1718.7720988438439</v>
      </c>
    </row>
    <row r="117" spans="1:29" ht="12.95" customHeight="1" x14ac:dyDescent="0.2">
      <c r="A117" s="1" t="s">
        <v>55</v>
      </c>
      <c r="B117" s="1" t="s">
        <v>192</v>
      </c>
      <c r="C117" s="8" t="s">
        <v>193</v>
      </c>
      <c r="D117" s="10">
        <v>1.0747185261003071E-2</v>
      </c>
      <c r="E117" s="10">
        <v>2.3529979607351008E-4</v>
      </c>
      <c r="F117" s="10">
        <v>1.0747185261003071E-2</v>
      </c>
      <c r="G117" s="12">
        <v>553292</v>
      </c>
      <c r="H117" s="12">
        <v>3600</v>
      </c>
      <c r="I117" s="13">
        <f t="shared" si="14"/>
        <v>556892</v>
      </c>
      <c r="J117" s="43">
        <f t="shared" si="15"/>
        <v>557612</v>
      </c>
      <c r="K117" s="41">
        <f>(F117)*J117*assumptions!$A$3</f>
        <v>3895.2936540429891</v>
      </c>
      <c r="L117" s="66">
        <v>99</v>
      </c>
      <c r="M117" s="36">
        <v>99</v>
      </c>
      <c r="N117" s="43">
        <f>(F117)*J117*assumptions!$A$3*('Sorted by Region'!M117/100)</f>
        <v>3856.3407175025591</v>
      </c>
      <c r="O117" s="43">
        <f>(F117)*J117*(assumptions!$A$3)*((100-'Sorted by Region'!M117)/100)</f>
        <v>38.952936540429896</v>
      </c>
      <c r="P117" s="43"/>
    </row>
    <row r="118" spans="1:29" ht="12.95" customHeight="1" x14ac:dyDescent="0.2">
      <c r="A118" s="1" t="s">
        <v>55</v>
      </c>
      <c r="B118" s="1" t="s">
        <v>258</v>
      </c>
      <c r="C118" s="8" t="s">
        <v>259</v>
      </c>
      <c r="D118" s="10">
        <v>1.6164836638309917E-2</v>
      </c>
      <c r="E118" s="10">
        <v>1.6164836638309917E-2</v>
      </c>
      <c r="F118" s="10">
        <v>1.6164836638309917E-2</v>
      </c>
      <c r="G118" s="12">
        <v>213605</v>
      </c>
      <c r="H118" s="12">
        <v>940</v>
      </c>
      <c r="I118" s="13">
        <f t="shared" si="14"/>
        <v>214545</v>
      </c>
      <c r="J118" s="43">
        <f t="shared" si="15"/>
        <v>214733</v>
      </c>
      <c r="K118" s="41">
        <f>(F118)*J118*assumptions!$A$3</f>
        <v>2256.2305128052321</v>
      </c>
      <c r="L118" s="66">
        <v>94</v>
      </c>
      <c r="M118" s="36">
        <v>94</v>
      </c>
      <c r="N118" s="43">
        <f>(F118)*J118*assumptions!$A$3*('Sorted by Region'!M118/100)</f>
        <v>2120.8566820369183</v>
      </c>
      <c r="O118" s="43">
        <f>(F118)*J118*(assumptions!$A$3)*((100-'Sorted by Region'!M118)/100)</f>
        <v>135.37383076831392</v>
      </c>
      <c r="P118" s="43"/>
      <c r="R118" s="5" t="s">
        <v>2</v>
      </c>
      <c r="S118" s="5" t="s">
        <v>208</v>
      </c>
      <c r="T118" s="43">
        <f>SUM(T93,T97,T101,T105,T109,T113)</f>
        <v>52599.725461315313</v>
      </c>
      <c r="U118" s="43">
        <f>SUM(U93,U97,U101,U105,U109,U113)</f>
        <v>4513.8546681476355</v>
      </c>
      <c r="V118" s="13">
        <f>SUM(V93,V97,V101,V105,V109,V113)</f>
        <v>16490.909330193139</v>
      </c>
      <c r="W118" s="13">
        <f>SUM(W93,W97,W101,W105,W109,W113)</f>
        <v>73604.489459656092</v>
      </c>
    </row>
    <row r="119" spans="1:29" ht="12.95" customHeight="1" x14ac:dyDescent="0.2">
      <c r="A119" s="1" t="s">
        <v>55</v>
      </c>
      <c r="B119" s="1" t="s">
        <v>301</v>
      </c>
      <c r="C119" s="8" t="s">
        <v>3</v>
      </c>
      <c r="D119" s="10">
        <v>2.2271714922048998E-2</v>
      </c>
      <c r="E119" s="10"/>
      <c r="F119" s="10">
        <v>2.2271714922048998E-2</v>
      </c>
      <c r="G119" s="12">
        <v>304266</v>
      </c>
      <c r="H119" s="12">
        <v>1590</v>
      </c>
      <c r="I119" s="13">
        <f t="shared" si="14"/>
        <v>305856</v>
      </c>
      <c r="J119" s="43">
        <f t="shared" si="15"/>
        <v>306174</v>
      </c>
      <c r="K119" s="41">
        <f>(F119)*J119*assumptions!$A$3</f>
        <v>4432.3630289532302</v>
      </c>
      <c r="L119" s="66">
        <v>100</v>
      </c>
      <c r="M119" s="36">
        <v>100</v>
      </c>
      <c r="N119" s="43">
        <f>(F119)*J119*assumptions!$A$3*('Sorted by Region'!M119/100)</f>
        <v>4432.3630289532302</v>
      </c>
      <c r="O119" s="43">
        <f>(F119)*J119*(assumptions!$A$3)*((100-'Sorted by Region'!M119)/100)</f>
        <v>0</v>
      </c>
      <c r="P119" s="43"/>
      <c r="S119" s="5" t="s">
        <v>209</v>
      </c>
      <c r="T119" s="43">
        <f t="shared" ref="T119:U121" si="16">SUM(T94,T98,T102,T106,T110,T114)</f>
        <v>39572.083331192458</v>
      </c>
      <c r="U119" s="43">
        <f t="shared" si="16"/>
        <v>9203.8058349918647</v>
      </c>
      <c r="V119" s="29"/>
      <c r="W119" s="38">
        <f>SUM(W94,W98,W102,W106,W110,W114)</f>
        <v>65266.798496377451</v>
      </c>
    </row>
    <row r="120" spans="1:29" ht="12.95" customHeight="1" x14ac:dyDescent="0.2">
      <c r="A120" s="1" t="s">
        <v>55</v>
      </c>
      <c r="B120" s="1" t="s">
        <v>227</v>
      </c>
      <c r="C120" s="8" t="s">
        <v>228</v>
      </c>
      <c r="D120" s="10"/>
      <c r="E120" s="10"/>
      <c r="F120" s="18">
        <f>F206</f>
        <v>1.5556029786708298E-3</v>
      </c>
      <c r="G120" s="19">
        <f>84825*0.00966</f>
        <v>819.40949999999998</v>
      </c>
      <c r="H120" s="12">
        <v>0</v>
      </c>
      <c r="I120" s="13">
        <f t="shared" si="14"/>
        <v>819.40949999999998</v>
      </c>
      <c r="J120" s="43">
        <f t="shared" si="15"/>
        <v>819.40949999999998</v>
      </c>
      <c r="K120" s="41">
        <f>(F120)*J120*assumptions!$A$3</f>
        <v>0.82853930831826395</v>
      </c>
      <c r="L120" s="66"/>
      <c r="M120" s="35">
        <v>98</v>
      </c>
      <c r="N120" s="43">
        <f>(F120)*J120*assumptions!$A$3*('Sorted by Region'!M120/100)</f>
        <v>0.81196852215189863</v>
      </c>
      <c r="O120" s="43">
        <f>(F120)*J120*(assumptions!$A$3)*((100-'Sorted by Region'!M120)/100)</f>
        <v>1.657078616636528E-2</v>
      </c>
      <c r="P120" s="43"/>
      <c r="S120" s="5" t="s">
        <v>210</v>
      </c>
      <c r="T120" s="43">
        <f t="shared" si="16"/>
        <v>26544.441201069596</v>
      </c>
      <c r="U120" s="43">
        <f t="shared" si="16"/>
        <v>13893.757001836093</v>
      </c>
      <c r="V120" s="29"/>
      <c r="W120" s="13">
        <f>SUM(W95,W99,W103,W107,W111,W115)</f>
        <v>56929.107533098831</v>
      </c>
    </row>
    <row r="121" spans="1:29" ht="12.95" customHeight="1" x14ac:dyDescent="0.2">
      <c r="A121" s="1" t="s">
        <v>55</v>
      </c>
      <c r="B121" s="1" t="s">
        <v>110</v>
      </c>
      <c r="C121" s="8" t="s">
        <v>111</v>
      </c>
      <c r="D121" s="10"/>
      <c r="E121" s="10"/>
      <c r="F121" s="18">
        <f>F206</f>
        <v>1.5556029786708298E-3</v>
      </c>
      <c r="G121" s="12">
        <v>46075</v>
      </c>
      <c r="H121" s="12">
        <v>250</v>
      </c>
      <c r="I121" s="13">
        <f t="shared" si="14"/>
        <v>46325</v>
      </c>
      <c r="J121" s="43">
        <f t="shared" si="15"/>
        <v>46375</v>
      </c>
      <c r="K121" s="41">
        <f>(F121)*J121*assumptions!$A$3</f>
        <v>46.89170728830883</v>
      </c>
      <c r="L121" s="66">
        <v>97</v>
      </c>
      <c r="M121" s="36">
        <v>97</v>
      </c>
      <c r="N121" s="43">
        <f>(F121)*J121*assumptions!$A$3*('Sorted by Region'!M121/100)</f>
        <v>45.48495606965956</v>
      </c>
      <c r="O121" s="43">
        <f>(F121)*J121*(assumptions!$A$3)*((100-'Sorted by Region'!M121)/100)</f>
        <v>1.4067512186492648</v>
      </c>
      <c r="P121" s="43"/>
      <c r="S121" s="72" t="s">
        <v>434</v>
      </c>
      <c r="T121" s="62">
        <f t="shared" si="16"/>
        <v>12262.653129684173</v>
      </c>
      <c r="U121" s="62">
        <f t="shared" si="16"/>
        <v>19035.200707534848</v>
      </c>
      <c r="V121" s="59"/>
      <c r="W121" s="59">
        <f>SUM(W96,W100,W104,W108,W112,W116)</f>
        <v>47788.763167412159</v>
      </c>
    </row>
    <row r="122" spans="1:29" ht="12.95" customHeight="1" x14ac:dyDescent="0.2">
      <c r="A122" s="1" t="s">
        <v>55</v>
      </c>
      <c r="B122" s="1" t="s">
        <v>114</v>
      </c>
      <c r="C122" s="8" t="s">
        <v>115</v>
      </c>
      <c r="D122" s="10"/>
      <c r="E122" s="10"/>
      <c r="F122" s="18">
        <f>F206</f>
        <v>1.5556029786708298E-3</v>
      </c>
      <c r="G122" s="12">
        <v>47106</v>
      </c>
      <c r="H122" s="12">
        <v>720</v>
      </c>
      <c r="I122" s="13">
        <f t="shared" si="14"/>
        <v>47826</v>
      </c>
      <c r="J122" s="43">
        <f t="shared" si="15"/>
        <v>47970</v>
      </c>
      <c r="K122" s="41">
        <f>(F122)*J122*assumptions!$A$3</f>
        <v>48.504478676445807</v>
      </c>
      <c r="L122" s="66">
        <v>93</v>
      </c>
      <c r="M122" s="36">
        <v>93</v>
      </c>
      <c r="N122" s="43">
        <f>(F122)*J122*assumptions!$A$3*('Sorted by Region'!M122/100)</f>
        <v>45.109165169094602</v>
      </c>
      <c r="O122" s="43">
        <f>(F122)*J122*(assumptions!$A$3)*((100-'Sorted by Region'!M122)/100)</f>
        <v>3.3953135073512066</v>
      </c>
      <c r="P122" s="43"/>
    </row>
    <row r="123" spans="1:29" ht="12.95" customHeight="1" x14ac:dyDescent="0.2">
      <c r="A123" s="1" t="s">
        <v>55</v>
      </c>
      <c r="B123" s="1" t="s">
        <v>231</v>
      </c>
      <c r="C123" s="8" t="s">
        <v>232</v>
      </c>
      <c r="D123" s="10"/>
      <c r="E123" s="10"/>
      <c r="F123" s="18">
        <f>F206</f>
        <v>1.5556029786708298E-3</v>
      </c>
      <c r="G123" s="12">
        <v>75860</v>
      </c>
      <c r="H123" s="12">
        <v>250</v>
      </c>
      <c r="I123" s="13">
        <f t="shared" si="14"/>
        <v>76110</v>
      </c>
      <c r="J123" s="43">
        <f t="shared" si="15"/>
        <v>76160</v>
      </c>
      <c r="K123" s="41">
        <f>(F123)*J123*assumptions!$A$3</f>
        <v>77.008569856120772</v>
      </c>
      <c r="L123" s="66">
        <v>100</v>
      </c>
      <c r="M123" s="40">
        <v>100</v>
      </c>
      <c r="N123" s="43">
        <f>(F123)*J123*assumptions!$A$3*('Sorted by Region'!M123/100)</f>
        <v>77.008569856120772</v>
      </c>
      <c r="O123" s="43">
        <f>(F123)*J123*(assumptions!$A$3)*((100-'Sorted by Region'!M123)/100)</f>
        <v>0</v>
      </c>
      <c r="P123" s="43"/>
      <c r="Q123" s="5" t="s">
        <v>447</v>
      </c>
      <c r="R123" s="5" t="s">
        <v>195</v>
      </c>
      <c r="S123" s="5" t="s">
        <v>208</v>
      </c>
      <c r="T123" s="43">
        <f>N$48*(1-assumptions!B$15)*assumptions!E$10</f>
        <v>59946.591568575037</v>
      </c>
      <c r="U123" s="43">
        <f>N$48*(assumptions!B$15)*assumptions!E$10*(1-assumptions!F$10)</f>
        <v>199.8219718952503</v>
      </c>
      <c r="V123" s="13">
        <f>O$48*assumptions!E$10</f>
        <v>19025.232444241337</v>
      </c>
      <c r="W123" s="13">
        <f>SUM(T123,U123,V123)</f>
        <v>79171.64598471162</v>
      </c>
      <c r="X123" s="13"/>
    </row>
    <row r="124" spans="1:29" ht="12.95" customHeight="1" x14ac:dyDescent="0.2">
      <c r="A124" s="1" t="s">
        <v>55</v>
      </c>
      <c r="B124" s="1" t="s">
        <v>56</v>
      </c>
      <c r="C124" s="8" t="s">
        <v>57</v>
      </c>
      <c r="D124" s="10"/>
      <c r="E124" s="10"/>
      <c r="F124" s="18">
        <f>F206</f>
        <v>1.5556029786708298E-3</v>
      </c>
      <c r="G124" s="12">
        <v>34362</v>
      </c>
      <c r="H124" s="12">
        <v>150</v>
      </c>
      <c r="I124" s="13">
        <f t="shared" si="14"/>
        <v>34512</v>
      </c>
      <c r="J124" s="43">
        <f t="shared" si="15"/>
        <v>34542</v>
      </c>
      <c r="K124" s="41">
        <f>(F124)*J124*assumptions!$A$3</f>
        <v>34.926864758011071</v>
      </c>
      <c r="L124" s="66">
        <v>99</v>
      </c>
      <c r="M124" s="36">
        <v>99</v>
      </c>
      <c r="N124" s="43">
        <f>(F124)*J124*assumptions!$A$3*('Sorted by Region'!M124/100)</f>
        <v>34.57759611043096</v>
      </c>
      <c r="O124" s="43">
        <f>(F124)*J124*(assumptions!$A$3)*((100-'Sorted by Region'!M124)/100)</f>
        <v>0.34926864758011072</v>
      </c>
      <c r="P124" s="43"/>
      <c r="R124" s="5" t="s">
        <v>195</v>
      </c>
      <c r="S124" s="5" t="s">
        <v>209</v>
      </c>
      <c r="T124" s="43">
        <f>N$48*(1-assumptions!C$15)*assumptions!E$10</f>
        <v>46625.126775558361</v>
      </c>
      <c r="U124" s="43">
        <f>N$48*(assumptions!C$15)*assumptions!E$10*(1-assumptions!F$10)</f>
        <v>599.46591568575082</v>
      </c>
      <c r="V124" s="29"/>
      <c r="W124" s="13">
        <f>SUM(T124,U124,V123)</f>
        <v>66249.825135485444</v>
      </c>
    </row>
    <row r="125" spans="1:29" ht="12.95" customHeight="1" x14ac:dyDescent="0.2">
      <c r="A125" s="1" t="s">
        <v>55</v>
      </c>
      <c r="B125" s="1" t="s">
        <v>237</v>
      </c>
      <c r="C125" s="8" t="s">
        <v>238</v>
      </c>
      <c r="D125" s="10"/>
      <c r="E125" s="10"/>
      <c r="F125" s="18">
        <f>F206</f>
        <v>1.5556029786708298E-3</v>
      </c>
      <c r="G125" s="12">
        <v>118948</v>
      </c>
      <c r="H125" s="12">
        <v>370</v>
      </c>
      <c r="I125" s="13">
        <f t="shared" si="14"/>
        <v>119318</v>
      </c>
      <c r="J125" s="43">
        <f t="shared" si="15"/>
        <v>119392</v>
      </c>
      <c r="K125" s="41">
        <f>(F125)*J125*assumptions!$A$3</f>
        <v>120.72225803915403</v>
      </c>
      <c r="L125" s="66"/>
      <c r="M125" s="35">
        <v>98</v>
      </c>
      <c r="N125" s="43">
        <f>(F125)*J125*assumptions!$A$3*('Sorted by Region'!M125/100)</f>
        <v>118.30781287837094</v>
      </c>
      <c r="O125" s="43">
        <f>(F125)*J125*(assumptions!$A$3)*((100-'Sorted by Region'!M125)/100)</f>
        <v>2.4144451607830808</v>
      </c>
      <c r="P125" s="43"/>
      <c r="R125" s="5" t="s">
        <v>195</v>
      </c>
      <c r="S125" s="5" t="s">
        <v>210</v>
      </c>
      <c r="T125" s="43">
        <f>N$48*(1-assumptions!D$15)*assumptions!E$10</f>
        <v>33303.661982541686</v>
      </c>
      <c r="U125" s="43">
        <f>N$48*(assumptions!D$15)*assumptions!E$10*(1-assumptions!F$10)</f>
        <v>999.10985947625147</v>
      </c>
      <c r="V125" s="29"/>
      <c r="W125" s="13">
        <f>SUM(T125,U125,V123)</f>
        <v>53328.004286259275</v>
      </c>
      <c r="AA125" s="24"/>
      <c r="AB125" s="24"/>
      <c r="AC125" s="24"/>
    </row>
    <row r="126" spans="1:29" ht="12.95" customHeight="1" x14ac:dyDescent="0.2">
      <c r="A126" s="1" t="s">
        <v>55</v>
      </c>
      <c r="B126" s="1" t="s">
        <v>122</v>
      </c>
      <c r="C126" s="8" t="s">
        <v>123</v>
      </c>
      <c r="D126" s="10"/>
      <c r="E126" s="10"/>
      <c r="F126" s="18">
        <f>F206</f>
        <v>1.5556029786708298E-3</v>
      </c>
      <c r="G126" s="12">
        <v>72691</v>
      </c>
      <c r="H126" s="12">
        <v>530</v>
      </c>
      <c r="I126" s="13">
        <f t="shared" si="14"/>
        <v>73221</v>
      </c>
      <c r="J126" s="43">
        <f t="shared" si="15"/>
        <v>73327</v>
      </c>
      <c r="K126" s="41">
        <f>(F126)*J126*assumptions!$A$3</f>
        <v>74.144004751047362</v>
      </c>
      <c r="L126" s="66"/>
      <c r="M126" s="35">
        <v>98</v>
      </c>
      <c r="N126" s="43">
        <f>(F126)*J126*assumptions!$A$3*('Sorted by Region'!M126/100)</f>
        <v>72.661124656026416</v>
      </c>
      <c r="O126" s="43">
        <f>(F126)*J126*(assumptions!$A$3)*((100-'Sorted by Region'!M126)/100)</f>
        <v>1.4828800950209473</v>
      </c>
      <c r="P126" s="43"/>
      <c r="R126" s="5" t="s">
        <v>195</v>
      </c>
      <c r="S126" s="72" t="s">
        <v>434</v>
      </c>
      <c r="T126" s="62">
        <f>N$48*(1-assumptions!E$15)*assumptions!E$10</f>
        <v>12655.391553365838</v>
      </c>
      <c r="U126" s="62">
        <f>N$48*(assumptions!E$15)*assumptions!E$10*(1-assumptions!F$10)</f>
        <v>1618.5579723515275</v>
      </c>
      <c r="V126" s="59"/>
      <c r="W126" s="59">
        <f>SUM(T126,U126,V123)</f>
        <v>33299.181969958707</v>
      </c>
      <c r="AA126" s="24"/>
      <c r="AB126" s="24"/>
      <c r="AC126" s="24"/>
    </row>
    <row r="127" spans="1:29" ht="12.95" customHeight="1" x14ac:dyDescent="0.2">
      <c r="A127" s="1" t="s">
        <v>55</v>
      </c>
      <c r="B127" s="1" t="s">
        <v>43</v>
      </c>
      <c r="C127" s="8" t="s">
        <v>44</v>
      </c>
      <c r="D127" s="10"/>
      <c r="E127" s="10"/>
      <c r="F127" s="18">
        <f>F206</f>
        <v>1.5556029786708298E-3</v>
      </c>
      <c r="G127" s="12">
        <v>72566</v>
      </c>
      <c r="H127" s="12">
        <v>190</v>
      </c>
      <c r="I127" s="13">
        <f t="shared" si="14"/>
        <v>72756</v>
      </c>
      <c r="J127" s="43">
        <f t="shared" si="15"/>
        <v>72794</v>
      </c>
      <c r="K127" s="41">
        <f>(F127)*J127*assumptions!$A$3</f>
        <v>73.605066099086855</v>
      </c>
      <c r="L127" s="66"/>
      <c r="M127" s="35">
        <v>98</v>
      </c>
      <c r="N127" s="43">
        <f>(F127)*J127*assumptions!$A$3*('Sorted by Region'!M127/100)</f>
        <v>72.132964777105116</v>
      </c>
      <c r="O127" s="43">
        <f>(F127)*J127*(assumptions!$A$3)*((100-'Sorted by Region'!M127)/100)</f>
        <v>1.4721013219817372</v>
      </c>
      <c r="P127" s="43"/>
      <c r="R127" s="5" t="s">
        <v>197</v>
      </c>
      <c r="S127" s="5" t="s">
        <v>208</v>
      </c>
      <c r="T127" s="43">
        <f>N$106*(1-assumptions!B$16)*assumptions!E$10</f>
        <v>3725.1084372883029</v>
      </c>
      <c r="U127" s="43">
        <f>N$106*assumptions!B$16*assumptions!E$10*(1-assumptions!F$10)</f>
        <v>12.417028124294355</v>
      </c>
      <c r="V127" s="13">
        <f>O$106*assumptions!E$10</f>
        <v>2270.943741323345</v>
      </c>
      <c r="W127" s="13">
        <f>SUM(T127,U127,V127)</f>
        <v>6008.4692067359429</v>
      </c>
      <c r="X127" s="13"/>
      <c r="AA127" s="24"/>
      <c r="AB127" s="24"/>
      <c r="AC127" s="24"/>
    </row>
    <row r="128" spans="1:29" ht="12.95" customHeight="1" x14ac:dyDescent="0.2">
      <c r="A128" s="1" t="s">
        <v>55</v>
      </c>
      <c r="B128" s="1" t="s">
        <v>241</v>
      </c>
      <c r="C128" s="8" t="s">
        <v>242</v>
      </c>
      <c r="D128" s="10"/>
      <c r="E128" s="10"/>
      <c r="F128" s="18">
        <f>F206</f>
        <v>1.5556029786708298E-3</v>
      </c>
      <c r="G128" s="12">
        <v>9921</v>
      </c>
      <c r="H128" s="12">
        <v>20</v>
      </c>
      <c r="I128" s="13">
        <f t="shared" si="14"/>
        <v>9941</v>
      </c>
      <c r="J128" s="43">
        <f t="shared" si="15"/>
        <v>9945</v>
      </c>
      <c r="K128" s="41">
        <f>(F128)*J128*assumptions!$A$3</f>
        <v>10.055806554872913</v>
      </c>
      <c r="L128" s="66"/>
      <c r="M128" s="35">
        <v>98</v>
      </c>
      <c r="N128" s="43">
        <f>(F128)*J128*assumptions!$A$3*('Sorted by Region'!M128/100)</f>
        <v>9.8546904237754536</v>
      </c>
      <c r="O128" s="43">
        <f>(F128)*J128*(assumptions!$A$3)*((100-'Sorted by Region'!M128)/100)</f>
        <v>0.20111613109745827</v>
      </c>
      <c r="P128" s="43"/>
      <c r="R128" s="5" t="s">
        <v>197</v>
      </c>
      <c r="S128" s="5" t="s">
        <v>209</v>
      </c>
      <c r="T128" s="43">
        <f>N$106*(1-assumptions!C$16)*assumptions!E$10</f>
        <v>2897.3065623353468</v>
      </c>
      <c r="U128" s="43">
        <f>N$106*assumptions!C$16*assumptions!E$10*(1-assumptions!F$10)</f>
        <v>37.251084372883064</v>
      </c>
      <c r="V128" s="29"/>
      <c r="W128" s="13">
        <f>SUM(T128,U128,V127)</f>
        <v>5205.5013880315746</v>
      </c>
      <c r="AA128" s="24"/>
      <c r="AB128" s="24"/>
      <c r="AC128" s="24"/>
    </row>
    <row r="129" spans="1:32" ht="12.95" customHeight="1" x14ac:dyDescent="0.2">
      <c r="A129" s="1" t="s">
        <v>55</v>
      </c>
      <c r="B129" s="1" t="s">
        <v>243</v>
      </c>
      <c r="C129" s="8" t="s">
        <v>244</v>
      </c>
      <c r="D129" s="10"/>
      <c r="E129" s="10"/>
      <c r="F129" s="18">
        <f>F206</f>
        <v>1.5556029786708298E-3</v>
      </c>
      <c r="G129" s="12">
        <v>62329</v>
      </c>
      <c r="H129" s="12">
        <v>140</v>
      </c>
      <c r="I129" s="13">
        <f t="shared" si="14"/>
        <v>62469</v>
      </c>
      <c r="J129" s="43">
        <f t="shared" si="15"/>
        <v>62497</v>
      </c>
      <c r="K129" s="41">
        <f>(F129)*J129*assumptions!$A$3</f>
        <v>63.193337582694056</v>
      </c>
      <c r="L129" s="66"/>
      <c r="M129" s="35">
        <v>98</v>
      </c>
      <c r="N129" s="43">
        <f>(F129)*J129*assumptions!$A$3*('Sorted by Region'!M129/100)</f>
        <v>61.929470831040177</v>
      </c>
      <c r="O129" s="43">
        <f>(F129)*J129*(assumptions!$A$3)*((100-'Sorted by Region'!M129)/100)</f>
        <v>1.2638667516538811</v>
      </c>
      <c r="P129" s="43"/>
      <c r="R129" s="5" t="s">
        <v>197</v>
      </c>
      <c r="S129" s="5" t="s">
        <v>210</v>
      </c>
      <c r="T129" s="43">
        <f>N$106*(1-assumptions!D$16)*assumptions!E$10</f>
        <v>2069.5046873823908</v>
      </c>
      <c r="U129" s="43">
        <f>N$106*assumptions!D$16*assumptions!E$10*(1-assumptions!F$10)</f>
        <v>62.08514062147178</v>
      </c>
      <c r="V129" s="29"/>
      <c r="W129" s="13">
        <f>SUM(T129,U129,V127)</f>
        <v>4402.5335693272082</v>
      </c>
      <c r="AA129" s="24"/>
      <c r="AB129" s="24"/>
      <c r="AC129" s="24"/>
    </row>
    <row r="130" spans="1:32" ht="12.95" customHeight="1" x14ac:dyDescent="0.2">
      <c r="A130" s="1" t="s">
        <v>55</v>
      </c>
      <c r="B130" s="1" t="s">
        <v>136</v>
      </c>
      <c r="C130" s="8" t="s">
        <v>137</v>
      </c>
      <c r="D130" s="10"/>
      <c r="E130" s="10"/>
      <c r="F130" s="18">
        <f>F206</f>
        <v>1.5556029786708298E-3</v>
      </c>
      <c r="G130" s="12">
        <v>15934</v>
      </c>
      <c r="H130" s="12">
        <v>50</v>
      </c>
      <c r="I130" s="13">
        <f t="shared" si="14"/>
        <v>15984</v>
      </c>
      <c r="J130" s="43">
        <f t="shared" si="15"/>
        <v>15994</v>
      </c>
      <c r="K130" s="41">
        <f>(F130)*J130*assumptions!$A$3</f>
        <v>16.172204126559812</v>
      </c>
      <c r="L130" s="66"/>
      <c r="M130" s="35">
        <v>98</v>
      </c>
      <c r="N130" s="43">
        <f>(F130)*J130*assumptions!$A$3*('Sorted by Region'!M130/100)</f>
        <v>15.848760044028616</v>
      </c>
      <c r="O130" s="43">
        <f>(F130)*J130*(assumptions!$A$3)*((100-'Sorted by Region'!M130)/100)</f>
        <v>0.32344408253119628</v>
      </c>
      <c r="P130" s="43"/>
      <c r="R130" s="5" t="s">
        <v>197</v>
      </c>
      <c r="S130" s="72" t="s">
        <v>434</v>
      </c>
      <c r="T130" s="62">
        <f>N$106*(1-assumptions!E$16)*assumptions!E$10</f>
        <v>786.41178120530822</v>
      </c>
      <c r="U130" s="62">
        <f>N$106*assumptions!E$16*assumptions!E$10*(1-assumptions!F$10)</f>
        <v>100.57792780678429</v>
      </c>
      <c r="V130" s="59"/>
      <c r="W130" s="59">
        <f>SUM(T130,U130,V127)</f>
        <v>3157.9334503354376</v>
      </c>
      <c r="AA130" s="24"/>
      <c r="AB130" s="24"/>
      <c r="AC130" s="24"/>
    </row>
    <row r="131" spans="1:32" ht="12.95" customHeight="1" x14ac:dyDescent="0.2">
      <c r="A131" s="1" t="s">
        <v>55</v>
      </c>
      <c r="B131" s="1" t="s">
        <v>39</v>
      </c>
      <c r="C131" s="8" t="s">
        <v>40</v>
      </c>
      <c r="D131" s="10"/>
      <c r="E131" s="10"/>
      <c r="F131" s="18">
        <f>F206</f>
        <v>1.5556029786708298E-3</v>
      </c>
      <c r="G131" s="12">
        <v>491277</v>
      </c>
      <c r="H131" s="12">
        <v>1520</v>
      </c>
      <c r="I131" s="13">
        <f t="shared" si="14"/>
        <v>492797</v>
      </c>
      <c r="J131" s="43">
        <f t="shared" si="15"/>
        <v>493101</v>
      </c>
      <c r="K131" s="41">
        <f>(F131)*J131*assumptions!$A$3</f>
        <v>498.59509985061715</v>
      </c>
      <c r="L131" s="66"/>
      <c r="M131" s="35">
        <v>98</v>
      </c>
      <c r="N131" s="43">
        <f>(F131)*J131*assumptions!$A$3*('Sorted by Region'!M131/100)</f>
        <v>488.62319785360478</v>
      </c>
      <c r="O131" s="43">
        <f>(F131)*J131*(assumptions!$A$3)*((100-'Sorted by Region'!M131)/100)</f>
        <v>9.9719019970123437</v>
      </c>
      <c r="P131" s="43"/>
      <c r="R131" s="5" t="s">
        <v>198</v>
      </c>
      <c r="S131" s="5" t="s">
        <v>208</v>
      </c>
      <c r="T131" s="43">
        <f>N$160*(1-assumptions!B$17)*assumptions!E$10</f>
        <v>1683.065095296884</v>
      </c>
      <c r="U131" s="43">
        <f>N$160*assumptions!B$17*assumptions!E$10*(1-assumptions!F$10)</f>
        <v>50.491952858906565</v>
      </c>
      <c r="V131" s="13">
        <f>O$160*assumptions!E$10</f>
        <v>90.16713685377708</v>
      </c>
      <c r="W131" s="13">
        <f>SUM(T131,U131,V131)</f>
        <v>1823.7241850095677</v>
      </c>
      <c r="X131" s="13"/>
      <c r="AA131" s="24"/>
      <c r="AB131" s="24"/>
      <c r="AC131" s="24"/>
    </row>
    <row r="132" spans="1:32" ht="12.95" customHeight="1" x14ac:dyDescent="0.2">
      <c r="A132" s="1" t="s">
        <v>55</v>
      </c>
      <c r="B132" s="1" t="s">
        <v>245</v>
      </c>
      <c r="C132" s="8" t="s">
        <v>246</v>
      </c>
      <c r="D132" s="10"/>
      <c r="E132" s="10"/>
      <c r="F132" s="18">
        <f>F206</f>
        <v>1.5556029786708298E-3</v>
      </c>
      <c r="G132" s="12">
        <v>59010</v>
      </c>
      <c r="H132" s="12">
        <v>120</v>
      </c>
      <c r="I132" s="13">
        <f t="shared" si="14"/>
        <v>59130</v>
      </c>
      <c r="J132" s="43">
        <f t="shared" si="15"/>
        <v>59154</v>
      </c>
      <c r="K132" s="41">
        <f>(F132)*J132*assumptions!$A$3</f>
        <v>59.813090090191281</v>
      </c>
      <c r="L132" s="66">
        <v>100</v>
      </c>
      <c r="M132" s="40">
        <v>100</v>
      </c>
      <c r="N132" s="43">
        <f>(F132)*J132*assumptions!$A$3*('Sorted by Region'!M132/100)</f>
        <v>59.813090090191281</v>
      </c>
      <c r="O132" s="43">
        <f>(F132)*J132*(assumptions!$A$3)*((100-'Sorted by Region'!M132)/100)</f>
        <v>0</v>
      </c>
      <c r="P132" s="43"/>
      <c r="R132" s="5" t="s">
        <v>198</v>
      </c>
      <c r="S132" s="5" t="s">
        <v>209</v>
      </c>
      <c r="T132" s="43">
        <f>N$160*(1-assumptions!C$17)*assumptions!E$10</f>
        <v>1009.8390571781305</v>
      </c>
      <c r="U132" s="43">
        <f>N$160*assumptions!C$17*assumptions!E$10*(1-assumptions!F$10)</f>
        <v>70.688734002469189</v>
      </c>
      <c r="V132" s="29"/>
      <c r="W132" s="13">
        <f>SUM(T132,U132,V131)</f>
        <v>1170.6949280343767</v>
      </c>
      <c r="AA132" s="24"/>
      <c r="AB132" s="24"/>
      <c r="AC132" s="24"/>
    </row>
    <row r="133" spans="1:32" ht="12.95" customHeight="1" x14ac:dyDescent="0.2">
      <c r="A133" s="1" t="s">
        <v>55</v>
      </c>
      <c r="B133" s="1" t="s">
        <v>247</v>
      </c>
      <c r="C133" s="8" t="s">
        <v>248</v>
      </c>
      <c r="D133" s="10"/>
      <c r="E133" s="10"/>
      <c r="F133" s="18">
        <f>F206</f>
        <v>1.5556029786708298E-3</v>
      </c>
      <c r="G133" s="12">
        <v>751738</v>
      </c>
      <c r="H133" s="12">
        <v>2970</v>
      </c>
      <c r="I133" s="13">
        <f t="shared" si="14"/>
        <v>754708</v>
      </c>
      <c r="J133" s="43">
        <f t="shared" si="15"/>
        <v>755302</v>
      </c>
      <c r="K133" s="41">
        <f>(F133)*J133*assumptions!$A$3</f>
        <v>763.7175266474228</v>
      </c>
      <c r="L133" s="66">
        <v>99</v>
      </c>
      <c r="M133" s="40">
        <v>99</v>
      </c>
      <c r="N133" s="43">
        <f>(F133)*J133*assumptions!$A$3*('Sorted by Region'!M133/100)</f>
        <v>756.08035138094851</v>
      </c>
      <c r="O133" s="43">
        <f>(F133)*J133*(assumptions!$A$3)*((100-'Sorted by Region'!M133)/100)</f>
        <v>7.6371752664742285</v>
      </c>
      <c r="P133" s="43"/>
      <c r="R133" s="5" t="s">
        <v>198</v>
      </c>
      <c r="S133" s="5" t="s">
        <v>210</v>
      </c>
      <c r="T133" s="43">
        <f>N$160*(1-assumptions!D$17)*assumptions!E$10</f>
        <v>336.61301905937677</v>
      </c>
      <c r="U133" s="43">
        <f>N$160*assumptions!D$17*assumptions!E$10*(1-assumptions!F$10)</f>
        <v>90.885515146031821</v>
      </c>
      <c r="V133" s="29"/>
      <c r="W133" s="13">
        <f>SUM(T133,U133,V131)</f>
        <v>517.66567105918568</v>
      </c>
      <c r="AA133" s="24"/>
      <c r="AB133" s="24"/>
      <c r="AC133" s="24"/>
    </row>
    <row r="134" spans="1:32" ht="12.95" customHeight="1" x14ac:dyDescent="0.2">
      <c r="A134" s="1" t="s">
        <v>55</v>
      </c>
      <c r="B134" s="1" t="s">
        <v>251</v>
      </c>
      <c r="C134" s="8" t="s">
        <v>252</v>
      </c>
      <c r="D134" s="10"/>
      <c r="E134" s="10"/>
      <c r="F134" s="18">
        <f>F206</f>
        <v>1.5556029786708298E-3</v>
      </c>
      <c r="G134" s="12">
        <v>106690</v>
      </c>
      <c r="H134" s="12">
        <v>310</v>
      </c>
      <c r="I134" s="13">
        <f t="shared" si="14"/>
        <v>107000</v>
      </c>
      <c r="J134" s="43">
        <f t="shared" si="15"/>
        <v>107062</v>
      </c>
      <c r="K134" s="41">
        <f>(F134)*J134*assumptions!$A$3</f>
        <v>108.25487796659665</v>
      </c>
      <c r="L134" s="66"/>
      <c r="M134" s="35">
        <v>98</v>
      </c>
      <c r="N134" s="43">
        <f>(F134)*J134*assumptions!$A$3*('Sorted by Region'!M134/100)</f>
        <v>106.08978040726471</v>
      </c>
      <c r="O134" s="43">
        <f>(F134)*J134*(assumptions!$A$3)*((100-'Sorted by Region'!M134)/100)</f>
        <v>2.165097559331933</v>
      </c>
      <c r="P134" s="43"/>
      <c r="R134" s="5" t="s">
        <v>198</v>
      </c>
      <c r="S134" s="72" t="s">
        <v>434</v>
      </c>
      <c r="T134" s="62">
        <f>N$160*(1-assumptions!E$17)*assumptions!E$10</f>
        <v>336.61301905937677</v>
      </c>
      <c r="U134" s="62">
        <f>N$160*assumptions!E$17*assumptions!E$10*(1-assumptions!F$10)</f>
        <v>90.885515146031821</v>
      </c>
      <c r="V134" s="59"/>
      <c r="W134" s="59">
        <f>SUM(T134,U134,V131)</f>
        <v>517.66567105918568</v>
      </c>
      <c r="AA134" s="24"/>
      <c r="AB134" s="24"/>
      <c r="AC134" s="24"/>
    </row>
    <row r="135" spans="1:32" ht="12.95" customHeight="1" x14ac:dyDescent="0.2">
      <c r="A135" s="1" t="s">
        <v>55</v>
      </c>
      <c r="B135" s="1" t="s">
        <v>126</v>
      </c>
      <c r="C135" s="8" t="s">
        <v>127</v>
      </c>
      <c r="D135" s="10"/>
      <c r="E135" s="10"/>
      <c r="F135" s="18">
        <f>F206</f>
        <v>1.5556029786708298E-3</v>
      </c>
      <c r="G135" s="12">
        <v>42170</v>
      </c>
      <c r="H135" s="12">
        <v>140</v>
      </c>
      <c r="I135" s="13">
        <f t="shared" si="14"/>
        <v>42310</v>
      </c>
      <c r="J135" s="43">
        <f t="shared" si="15"/>
        <v>42338</v>
      </c>
      <c r="K135" s="41">
        <f>(F135)*J135*assumptions!$A$3</f>
        <v>42.809727292127633</v>
      </c>
      <c r="L135" s="66"/>
      <c r="M135" s="35">
        <v>98</v>
      </c>
      <c r="N135" s="43">
        <f>(F135)*J135*assumptions!$A$3*('Sorted by Region'!M135/100)</f>
        <v>41.953532746285077</v>
      </c>
      <c r="O135" s="43">
        <f>(F135)*J135*(assumptions!$A$3)*((100-'Sorted by Region'!M135)/100)</f>
        <v>0.85619454584255272</v>
      </c>
      <c r="P135" s="43"/>
      <c r="R135" s="5" t="s">
        <v>207</v>
      </c>
      <c r="S135" s="5" t="s">
        <v>208</v>
      </c>
      <c r="T135" s="43">
        <f>N$84*(1-assumptions!B$18)*assumptions!E$10</f>
        <v>9618.446622182013</v>
      </c>
      <c r="U135" s="43">
        <f>N$84*assumptions!B$18*assumptions!E$10*(1-assumptions!F$10)</f>
        <v>192.36893244364049</v>
      </c>
      <c r="V135" s="13">
        <f>O$84*assumptions!E$10</f>
        <v>1009.2333072279001</v>
      </c>
      <c r="W135" s="13">
        <f>SUM(T135,U135,V135)</f>
        <v>10820.048861853553</v>
      </c>
      <c r="X135" s="13"/>
      <c r="AA135" s="24"/>
      <c r="AB135" s="24"/>
      <c r="AC135" s="24"/>
    </row>
    <row r="136" spans="1:32" ht="12.95" customHeight="1" x14ac:dyDescent="0.2">
      <c r="A136" s="1" t="s">
        <v>55</v>
      </c>
      <c r="B136" s="1" t="s">
        <v>140</v>
      </c>
      <c r="C136" s="8" t="s">
        <v>141</v>
      </c>
      <c r="D136" s="10"/>
      <c r="E136" s="10"/>
      <c r="F136" s="18">
        <f>F206</f>
        <v>1.5556029786708298E-3</v>
      </c>
      <c r="G136" s="12">
        <v>98598</v>
      </c>
      <c r="H136" s="12">
        <v>310</v>
      </c>
      <c r="I136" s="13">
        <f t="shared" si="14"/>
        <v>98908</v>
      </c>
      <c r="J136" s="43">
        <f t="shared" si="15"/>
        <v>98970</v>
      </c>
      <c r="K136" s="41">
        <f>(F136)*J136*assumptions!$A$3</f>
        <v>100.07271741938382</v>
      </c>
      <c r="L136" s="66"/>
      <c r="M136" s="35">
        <v>98</v>
      </c>
      <c r="N136" s="43">
        <f>(F136)*J136*assumptions!$A$3*('Sorted by Region'!M136/100)</f>
        <v>98.071263070996139</v>
      </c>
      <c r="O136" s="43">
        <f>(F136)*J136*(assumptions!$A$3)*((100-'Sorted by Region'!M136)/100)</f>
        <v>2.0014543483876763</v>
      </c>
      <c r="P136" s="43"/>
      <c r="R136" s="5" t="s">
        <v>207</v>
      </c>
      <c r="S136" s="5" t="s">
        <v>209</v>
      </c>
      <c r="T136" s="43">
        <f>N$84*(1-assumptions!C$18)*assumptions!E$10</f>
        <v>6412.2977481213438</v>
      </c>
      <c r="U136" s="43">
        <f>N$84*assumptions!C$18*assumptions!E$10*(1-assumptions!F$10)</f>
        <v>288.55339866546063</v>
      </c>
      <c r="V136" s="29"/>
      <c r="W136" s="13">
        <f>SUM(T136,U136,V135)</f>
        <v>7710.0844540147045</v>
      </c>
      <c r="AA136" s="24"/>
      <c r="AB136" s="24"/>
      <c r="AC136" s="24"/>
    </row>
    <row r="137" spans="1:32" ht="12.95" customHeight="1" x14ac:dyDescent="0.2">
      <c r="A137" s="1" t="s">
        <v>55</v>
      </c>
      <c r="B137" s="1" t="s">
        <v>11</v>
      </c>
      <c r="C137" s="8" t="s">
        <v>12</v>
      </c>
      <c r="D137" s="10"/>
      <c r="E137" s="10"/>
      <c r="F137" s="18">
        <f>F206</f>
        <v>1.5556029786708298E-3</v>
      </c>
      <c r="G137" s="12">
        <v>69101</v>
      </c>
      <c r="H137" s="12">
        <v>230</v>
      </c>
      <c r="I137" s="13">
        <f t="shared" si="14"/>
        <v>69331</v>
      </c>
      <c r="J137" s="43">
        <f t="shared" si="15"/>
        <v>69377</v>
      </c>
      <c r="K137" s="41">
        <f>(F137)*J137*assumptions!$A$3</f>
        <v>70.149994103310007</v>
      </c>
      <c r="L137" s="66"/>
      <c r="M137" s="35">
        <v>98</v>
      </c>
      <c r="N137" s="43">
        <f>(F137)*J137*assumptions!$A$3*('Sorted by Region'!M137/100)</f>
        <v>68.74699422124381</v>
      </c>
      <c r="O137" s="43">
        <f>(F137)*J137*(assumptions!$A$3)*((100-'Sorted by Region'!M137)/100)</f>
        <v>1.4029998820662002</v>
      </c>
      <c r="P137" s="43"/>
      <c r="R137" s="5" t="s">
        <v>207</v>
      </c>
      <c r="S137" s="5" t="s">
        <v>210</v>
      </c>
      <c r="T137" s="43">
        <f>N$84*(1-assumptions!D$18)*assumptions!E$10</f>
        <v>3206.1488740606706</v>
      </c>
      <c r="U137" s="43">
        <f>N$84*assumptions!D$18*assumptions!E$10*(1-assumptions!F$10)</f>
        <v>384.73786488728098</v>
      </c>
      <c r="V137" s="29"/>
      <c r="W137" s="13">
        <f>SUM(T137,U137,V135)</f>
        <v>4600.1200461758517</v>
      </c>
      <c r="AA137" s="24"/>
      <c r="AB137" s="24"/>
      <c r="AC137" s="24"/>
    </row>
    <row r="138" spans="1:32" ht="12.95" customHeight="1" x14ac:dyDescent="0.2">
      <c r="A138" s="1" t="s">
        <v>55</v>
      </c>
      <c r="B138" s="1" t="s">
        <v>13</v>
      </c>
      <c r="C138" s="8" t="s">
        <v>14</v>
      </c>
      <c r="D138" s="10"/>
      <c r="E138" s="10"/>
      <c r="F138" s="18">
        <f>F206</f>
        <v>1.5556029786708298E-3</v>
      </c>
      <c r="G138" s="12">
        <v>139892</v>
      </c>
      <c r="H138" s="12">
        <v>480</v>
      </c>
      <c r="I138" s="13">
        <f t="shared" si="14"/>
        <v>140372</v>
      </c>
      <c r="J138" s="43">
        <f t="shared" si="15"/>
        <v>140468</v>
      </c>
      <c r="K138" s="41">
        <f>(F138)*J138*assumptions!$A$3</f>
        <v>142.03308548515719</v>
      </c>
      <c r="L138" s="66"/>
      <c r="M138" s="35">
        <v>98</v>
      </c>
      <c r="N138" s="43">
        <f>(F138)*J138*assumptions!$A$3*('Sorted by Region'!M138/100)</f>
        <v>139.19242377545405</v>
      </c>
      <c r="O138" s="43">
        <f>(F138)*J138*(assumptions!$A$3)*((100-'Sorted by Region'!M138)/100)</f>
        <v>2.8406617097031437</v>
      </c>
      <c r="P138" s="43"/>
      <c r="R138" s="5" t="s">
        <v>207</v>
      </c>
      <c r="S138" s="72" t="s">
        <v>434</v>
      </c>
      <c r="T138" s="62">
        <f>N$84*(1-assumptions!E$18)*assumptions!E$10</f>
        <v>3045.8414303576369</v>
      </c>
      <c r="U138" s="62">
        <f>N$84*assumptions!E$18*assumptions!E$10*(1-assumptions!F$10)</f>
        <v>389.54708819837197</v>
      </c>
      <c r="V138" s="59"/>
      <c r="W138" s="59">
        <f>SUM(T138,U138,V135)</f>
        <v>4444.6218257839091</v>
      </c>
      <c r="AA138" s="24"/>
      <c r="AB138" s="24"/>
      <c r="AC138" s="24"/>
    </row>
    <row r="139" spans="1:32" ht="12.95" customHeight="1" x14ac:dyDescent="0.2">
      <c r="A139" s="1" t="s">
        <v>55</v>
      </c>
      <c r="B139" s="1" t="s">
        <v>253</v>
      </c>
      <c r="C139" s="8" t="s">
        <v>254</v>
      </c>
      <c r="D139" s="10"/>
      <c r="E139" s="10"/>
      <c r="F139" s="18">
        <f>F206</f>
        <v>1.5556029786708298E-3</v>
      </c>
      <c r="G139" s="12">
        <v>4623</v>
      </c>
      <c r="H139" s="12">
        <v>10</v>
      </c>
      <c r="I139" s="13">
        <f t="shared" ref="I139:I159" si="17">SUM(G139+H139)</f>
        <v>4633</v>
      </c>
      <c r="J139" s="43">
        <f t="shared" ref="J139:J159" si="18">G139+H139+(0.2*H139)</f>
        <v>4635</v>
      </c>
      <c r="K139" s="41">
        <f>(F139)*J139*assumptions!$A$3</f>
        <v>4.686642873990543</v>
      </c>
      <c r="L139" s="66"/>
      <c r="M139" s="35">
        <v>98</v>
      </c>
      <c r="N139" s="43">
        <f>(F139)*J139*assumptions!$A$3*('Sorted by Region'!M139/100)</f>
        <v>4.5929100165107322</v>
      </c>
      <c r="O139" s="43">
        <f>(F139)*J139*(assumptions!$A$3)*((100-'Sorted by Region'!M139)/100)</f>
        <v>9.373285747981086E-2</v>
      </c>
      <c r="P139" s="43"/>
      <c r="R139" s="5" t="s">
        <v>199</v>
      </c>
      <c r="S139" s="5" t="s">
        <v>208</v>
      </c>
      <c r="T139" s="43">
        <f>N$172*(1-assumptions!B$19)*assumptions!E$10</f>
        <v>60630.042158518219</v>
      </c>
      <c r="U139" s="43">
        <f>N$172*assumptions!B$19*assumptions!E$10*(1-assumptions!F$10)</f>
        <v>454.72531618888706</v>
      </c>
      <c r="V139" s="30">
        <f>O$172*assumptions!E$10</f>
        <v>20739.367681087144</v>
      </c>
      <c r="W139" s="13">
        <f>SUM(T139,U139,V139)</f>
        <v>81824.135155794254</v>
      </c>
      <c r="X139" s="13"/>
      <c r="AA139" s="24"/>
      <c r="AB139" s="24"/>
      <c r="AC139" s="24"/>
      <c r="AD139" s="24"/>
      <c r="AE139" s="61"/>
      <c r="AF139" s="5"/>
    </row>
    <row r="140" spans="1:32" ht="12.95" customHeight="1" x14ac:dyDescent="0.2">
      <c r="A140" s="1" t="s">
        <v>55</v>
      </c>
      <c r="B140" s="1" t="s">
        <v>15</v>
      </c>
      <c r="C140" s="8" t="s">
        <v>16</v>
      </c>
      <c r="D140" s="10"/>
      <c r="E140" s="10"/>
      <c r="F140" s="18">
        <f>F206</f>
        <v>1.5556029786708298E-3</v>
      </c>
      <c r="G140" s="12">
        <v>545900</v>
      </c>
      <c r="H140" s="12">
        <v>1480</v>
      </c>
      <c r="I140" s="13">
        <f t="shared" si="17"/>
        <v>547380</v>
      </c>
      <c r="J140" s="43">
        <f t="shared" si="18"/>
        <v>547676</v>
      </c>
      <c r="K140" s="41">
        <f>(F140)*J140*assumptions!$A$3</f>
        <v>553.77817101524158</v>
      </c>
      <c r="L140" s="66"/>
      <c r="M140" s="35">
        <v>98</v>
      </c>
      <c r="N140" s="43">
        <f>(F140)*J140*assumptions!$A$3*('Sorted by Region'!M140/100)</f>
        <v>542.70260759493669</v>
      </c>
      <c r="O140" s="43">
        <f>(F140)*J140*(assumptions!$A$3)*((100-'Sorted by Region'!M140)/100)</f>
        <v>11.075563420304832</v>
      </c>
      <c r="P140" s="43"/>
      <c r="R140" s="5" t="s">
        <v>199</v>
      </c>
      <c r="S140" s="5" t="s">
        <v>209</v>
      </c>
      <c r="T140" s="43">
        <f>N$172*(1-assumptions!C$19)*assumptions!E$10</f>
        <v>45472.531618888657</v>
      </c>
      <c r="U140" s="43">
        <f>N$172*assumptions!C$19*assumptions!E$10*(1-assumptions!F$10)</f>
        <v>909.45063237777413</v>
      </c>
      <c r="V140" s="29"/>
      <c r="W140" s="13">
        <f>SUM(T140,U140,V139)</f>
        <v>67121.34993235358</v>
      </c>
      <c r="AA140" s="24"/>
      <c r="AB140" s="24"/>
      <c r="AC140" s="24"/>
      <c r="AD140" s="24"/>
      <c r="AE140" s="61"/>
      <c r="AF140" s="5"/>
    </row>
    <row r="141" spans="1:32" ht="12.95" customHeight="1" x14ac:dyDescent="0.2">
      <c r="A141" s="1" t="s">
        <v>55</v>
      </c>
      <c r="B141" s="1" t="s">
        <v>96</v>
      </c>
      <c r="C141" s="8" t="s">
        <v>97</v>
      </c>
      <c r="D141" s="10"/>
      <c r="E141" s="10"/>
      <c r="F141" s="18">
        <f>F206</f>
        <v>1.5556029786708298E-3</v>
      </c>
      <c r="G141" s="12">
        <v>31416</v>
      </c>
      <c r="H141" s="12">
        <v>130</v>
      </c>
      <c r="I141" s="13">
        <f t="shared" si="17"/>
        <v>31546</v>
      </c>
      <c r="J141" s="43">
        <f t="shared" si="18"/>
        <v>31572</v>
      </c>
      <c r="K141" s="41">
        <f>(F141)*J141*assumptions!$A$3</f>
        <v>31.923773207687034</v>
      </c>
      <c r="L141" s="66"/>
      <c r="M141" s="35">
        <v>98</v>
      </c>
      <c r="N141" s="43">
        <f>(F141)*J141*assumptions!$A$3*('Sorted by Region'!M141/100)</f>
        <v>31.285297743533292</v>
      </c>
      <c r="O141" s="43">
        <f>(F141)*J141*(assumptions!$A$3)*((100-'Sorted by Region'!M141)/100)</f>
        <v>0.63847546415374068</v>
      </c>
      <c r="P141" s="43"/>
      <c r="R141" s="5" t="s">
        <v>199</v>
      </c>
      <c r="S141" s="5" t="s">
        <v>210</v>
      </c>
      <c r="T141" s="43">
        <f>N$172*(1-assumptions!D$19)*assumptions!E$10</f>
        <v>30315.02107925911</v>
      </c>
      <c r="U141" s="43">
        <f>N$172*assumptions!D$19*assumptions!E$10*(1-assumptions!F$10)</f>
        <v>1364.175948566661</v>
      </c>
      <c r="V141" s="29"/>
      <c r="W141" s="13">
        <f>SUM(T141,U141,V139)</f>
        <v>52418.56470891292</v>
      </c>
      <c r="AA141" s="24"/>
      <c r="AB141" s="24"/>
      <c r="AC141" s="24"/>
      <c r="AD141" s="24"/>
      <c r="AE141" s="61"/>
      <c r="AF141" s="5"/>
    </row>
    <row r="142" spans="1:32" ht="12.95" customHeight="1" x14ac:dyDescent="0.2">
      <c r="A142" s="1" t="s">
        <v>55</v>
      </c>
      <c r="B142" s="1" t="s">
        <v>21</v>
      </c>
      <c r="C142" s="8" t="s">
        <v>22</v>
      </c>
      <c r="D142" s="10"/>
      <c r="E142" s="10"/>
      <c r="F142" s="18">
        <f>F206</f>
        <v>1.5556029786708298E-3</v>
      </c>
      <c r="G142" s="12">
        <v>5452</v>
      </c>
      <c r="H142" s="12">
        <v>20</v>
      </c>
      <c r="I142" s="13">
        <f t="shared" si="17"/>
        <v>5472</v>
      </c>
      <c r="J142" s="43">
        <f t="shared" si="18"/>
        <v>5476</v>
      </c>
      <c r="K142" s="41">
        <f>(F142)*J142*assumptions!$A$3</f>
        <v>5.5370132422809517</v>
      </c>
      <c r="L142" s="66"/>
      <c r="M142" s="35">
        <v>98</v>
      </c>
      <c r="N142" s="43">
        <f>(F142)*J142*assumptions!$A$3*('Sorted by Region'!M142/100)</f>
        <v>5.4262729774353327</v>
      </c>
      <c r="O142" s="43">
        <f>(F142)*J142*(assumptions!$A$3)*((100-'Sorted by Region'!M142)/100)</f>
        <v>0.11074026484561904</v>
      </c>
      <c r="P142" s="43"/>
      <c r="R142" s="5" t="s">
        <v>199</v>
      </c>
      <c r="S142" s="72" t="s">
        <v>434</v>
      </c>
      <c r="T142" s="62">
        <f>N$172*(1-assumptions!E$19)*assumptions!E$10</f>
        <v>14399.635012648074</v>
      </c>
      <c r="U142" s="62">
        <f>N$172*assumptions!E$19*assumptions!E$10*(1-assumptions!F$10)</f>
        <v>1841.6375305649929</v>
      </c>
      <c r="V142" s="59"/>
      <c r="W142" s="59">
        <f>SUM(T142,U142,V139)</f>
        <v>36980.640224300209</v>
      </c>
      <c r="AA142" s="24"/>
      <c r="AB142" s="24"/>
      <c r="AC142" s="24"/>
      <c r="AD142" s="24"/>
      <c r="AE142" s="61"/>
      <c r="AF142" s="5"/>
    </row>
    <row r="143" spans="1:32" ht="12.95" customHeight="1" x14ac:dyDescent="0.2">
      <c r="A143" s="1" t="s">
        <v>55</v>
      </c>
      <c r="B143" s="1" t="s">
        <v>146</v>
      </c>
      <c r="C143" s="8" t="s">
        <v>147</v>
      </c>
      <c r="D143" s="10"/>
      <c r="E143" s="10"/>
      <c r="F143" s="18">
        <f>F206</f>
        <v>1.5556029786708298E-3</v>
      </c>
      <c r="G143" s="12">
        <v>23129</v>
      </c>
      <c r="H143" s="12">
        <v>100</v>
      </c>
      <c r="I143" s="13">
        <f t="shared" si="17"/>
        <v>23229</v>
      </c>
      <c r="J143" s="43">
        <f t="shared" si="18"/>
        <v>23249</v>
      </c>
      <c r="K143" s="41">
        <f>(F143)*J143*assumptions!$A$3</f>
        <v>23.508038873226781</v>
      </c>
      <c r="L143" s="66"/>
      <c r="M143" s="35">
        <v>98</v>
      </c>
      <c r="N143" s="43">
        <f>(F143)*J143*assumptions!$A$3*('Sorted by Region'!M143/100)</f>
        <v>23.037878095762245</v>
      </c>
      <c r="O143" s="43">
        <f>(F143)*J143*(assumptions!$A$3)*((100-'Sorted by Region'!M143)/100)</f>
        <v>0.47016077746453561</v>
      </c>
      <c r="P143" s="43"/>
      <c r="R143" s="5" t="s">
        <v>200</v>
      </c>
      <c r="S143" s="5" t="s">
        <v>208</v>
      </c>
      <c r="T143" s="43">
        <f>N$200*(1-assumptions!B$20)*assumptions!E$10</f>
        <v>4662.680681647058</v>
      </c>
      <c r="U143" s="43">
        <f>N$200*assumptions!B$20*assumptions!E$10*(1-assumptions!F$10)</f>
        <v>93.253613632941239</v>
      </c>
      <c r="V143" s="13">
        <f>O$200*assumptions!E$10</f>
        <v>840.81390311487894</v>
      </c>
      <c r="W143" s="13">
        <f>SUM(T143,U143,V143)</f>
        <v>5596.7481983948783</v>
      </c>
      <c r="X143" s="13"/>
      <c r="AA143" s="24"/>
      <c r="AB143" s="24"/>
      <c r="AC143" s="24"/>
      <c r="AD143" s="24"/>
      <c r="AE143" s="61"/>
      <c r="AF143" s="5"/>
    </row>
    <row r="144" spans="1:32" ht="12.95" customHeight="1" x14ac:dyDescent="0.2">
      <c r="A144" s="1" t="s">
        <v>55</v>
      </c>
      <c r="B144" s="1" t="s">
        <v>25</v>
      </c>
      <c r="C144" s="8" t="s">
        <v>26</v>
      </c>
      <c r="D144" s="10"/>
      <c r="E144" s="10"/>
      <c r="F144" s="18">
        <f>F206</f>
        <v>1.5556029786708298E-3</v>
      </c>
      <c r="G144" s="19">
        <f>30539*0.00694</f>
        <v>211.94066000000001</v>
      </c>
      <c r="H144" s="12">
        <v>0</v>
      </c>
      <c r="I144" s="13">
        <f t="shared" si="17"/>
        <v>211.94066000000001</v>
      </c>
      <c r="J144" s="43">
        <f t="shared" si="18"/>
        <v>211.94066000000001</v>
      </c>
      <c r="K144" s="41">
        <f>(F144)*J144*assumptions!$A$3</f>
        <v>0.21430208929835004</v>
      </c>
      <c r="L144" s="66"/>
      <c r="M144" s="35">
        <v>98</v>
      </c>
      <c r="N144" s="43">
        <f>(F144)*J144*assumptions!$A$3*('Sorted by Region'!M144/100)</f>
        <v>0.21001604751238304</v>
      </c>
      <c r="O144" s="43">
        <f>(F144)*J144*(assumptions!$A$3)*((100-'Sorted by Region'!M144)/100)</f>
        <v>4.2860417859670007E-3</v>
      </c>
      <c r="P144" s="43"/>
      <c r="R144" s="5" t="s">
        <v>200</v>
      </c>
      <c r="S144" s="5" t="s">
        <v>209</v>
      </c>
      <c r="T144" s="43">
        <f>N$200*(1-assumptions!C$20)*assumptions!E$10</f>
        <v>3108.4537877647053</v>
      </c>
      <c r="U144" s="43">
        <f>N$200*assumptions!C$20*assumptions!E$10*(1-assumptions!F$10)</f>
        <v>139.88042044941187</v>
      </c>
      <c r="V144" s="29"/>
      <c r="W144" s="13">
        <f>SUM(T144,U144,V143)</f>
        <v>4089.148111328996</v>
      </c>
      <c r="AA144" s="24"/>
      <c r="AB144" s="24"/>
      <c r="AC144" s="24"/>
      <c r="AD144" s="24"/>
      <c r="AE144" s="61"/>
      <c r="AF144" s="5"/>
    </row>
    <row r="145" spans="1:32" ht="12.95" customHeight="1" x14ac:dyDescent="0.2">
      <c r="A145" s="1" t="s">
        <v>55</v>
      </c>
      <c r="B145" s="1" t="s">
        <v>156</v>
      </c>
      <c r="C145" s="8" t="s">
        <v>157</v>
      </c>
      <c r="D145" s="10"/>
      <c r="E145" s="10"/>
      <c r="F145" s="18">
        <f>F206</f>
        <v>1.5556029786708298E-3</v>
      </c>
      <c r="G145" s="12">
        <v>7583</v>
      </c>
      <c r="H145" s="12">
        <v>20</v>
      </c>
      <c r="I145" s="13">
        <f t="shared" si="17"/>
        <v>7603</v>
      </c>
      <c r="J145" s="43">
        <f t="shared" si="18"/>
        <v>7607</v>
      </c>
      <c r="K145" s="41">
        <f>(F145)*J145*assumptions!$A$3</f>
        <v>7.6917567081868512</v>
      </c>
      <c r="L145" s="66">
        <v>97</v>
      </c>
      <c r="M145" s="36">
        <v>97</v>
      </c>
      <c r="N145" s="43">
        <f>(F145)*J145*assumptions!$A$3*('Sorted by Region'!M145/100)</f>
        <v>7.4610040069412458</v>
      </c>
      <c r="O145" s="43">
        <f>(F145)*J145*(assumptions!$A$3)*((100-'Sorted by Region'!M145)/100)</f>
        <v>0.23075270124560554</v>
      </c>
      <c r="P145" s="43"/>
      <c r="R145" s="5" t="s">
        <v>200</v>
      </c>
      <c r="S145" s="5" t="s">
        <v>210</v>
      </c>
      <c r="T145" s="43">
        <f>N$200*(1-assumptions!D$20)*assumptions!E$10</f>
        <v>1554.2268938823522</v>
      </c>
      <c r="U145" s="43">
        <f>N$200*assumptions!D$20*assumptions!E$10*(1-assumptions!F$10)</f>
        <v>186.50722726588248</v>
      </c>
      <c r="V145" s="29"/>
      <c r="W145" s="13">
        <f>SUM(T145,U145,V143)</f>
        <v>2581.5480242631138</v>
      </c>
      <c r="AA145" s="24"/>
      <c r="AB145" s="24"/>
      <c r="AC145" s="24"/>
      <c r="AD145" s="24"/>
      <c r="AE145" s="61"/>
      <c r="AF145" s="5"/>
    </row>
    <row r="146" spans="1:32" ht="12.95" customHeight="1" x14ac:dyDescent="0.2">
      <c r="A146" s="1" t="s">
        <v>55</v>
      </c>
      <c r="B146" s="1" t="s">
        <v>182</v>
      </c>
      <c r="C146" s="8" t="s">
        <v>183</v>
      </c>
      <c r="D146" s="10"/>
      <c r="E146" s="10"/>
      <c r="F146" s="18">
        <f>F206</f>
        <v>1.5556029786708298E-3</v>
      </c>
      <c r="G146" s="12">
        <v>22243</v>
      </c>
      <c r="H146" s="12">
        <v>140</v>
      </c>
      <c r="I146" s="13">
        <f t="shared" si="17"/>
        <v>22383</v>
      </c>
      <c r="J146" s="43">
        <f t="shared" si="18"/>
        <v>22411</v>
      </c>
      <c r="K146" s="41">
        <f>(F146)*J146*assumptions!$A$3</f>
        <v>22.660701930744779</v>
      </c>
      <c r="L146" s="66">
        <v>94</v>
      </c>
      <c r="M146" s="36">
        <v>94</v>
      </c>
      <c r="N146" s="43">
        <f>(F146)*J146*assumptions!$A$3*('Sorted by Region'!M146/100)</f>
        <v>21.301059814900089</v>
      </c>
      <c r="O146" s="43">
        <f>(F146)*J146*(assumptions!$A$3)*((100-'Sorted by Region'!M146)/100)</f>
        <v>1.3596421158446867</v>
      </c>
      <c r="P146" s="43"/>
      <c r="R146" s="5" t="s">
        <v>200</v>
      </c>
      <c r="S146" s="72" t="s">
        <v>434</v>
      </c>
      <c r="T146" s="62">
        <f>N$200*(1-assumptions!E$20)*assumptions!E$10</f>
        <v>1476.5155491882344</v>
      </c>
      <c r="U146" s="62">
        <f>N$200*assumptions!E$20*assumptions!E$10*(1-assumptions!F$10)</f>
        <v>188.83856760670605</v>
      </c>
      <c r="V146" s="59"/>
      <c r="W146" s="59">
        <f>SUM(T146,U146,V143)</f>
        <v>2506.1680199098191</v>
      </c>
      <c r="AA146" s="24"/>
      <c r="AB146" s="24"/>
      <c r="AC146" s="24"/>
      <c r="AD146" s="24"/>
      <c r="AE146" s="61"/>
      <c r="AF146" s="5"/>
    </row>
    <row r="147" spans="1:32" ht="12.95" customHeight="1" x14ac:dyDescent="0.2">
      <c r="A147" s="1" t="s">
        <v>55</v>
      </c>
      <c r="B147" s="1" t="s">
        <v>23</v>
      </c>
      <c r="C147" s="8" t="s">
        <v>24</v>
      </c>
      <c r="D147" s="10"/>
      <c r="E147" s="10"/>
      <c r="F147" s="18">
        <f>F206</f>
        <v>1.5556029786708298E-3</v>
      </c>
      <c r="G147" s="12">
        <v>3680</v>
      </c>
      <c r="H147" s="12">
        <v>10</v>
      </c>
      <c r="I147" s="13">
        <f t="shared" si="17"/>
        <v>3690</v>
      </c>
      <c r="J147" s="43">
        <f t="shared" si="18"/>
        <v>3692</v>
      </c>
      <c r="K147" s="41">
        <f>(F147)*J147*assumptions!$A$3</f>
        <v>3.7331360282142572</v>
      </c>
      <c r="L147" s="66"/>
      <c r="M147" s="35">
        <v>98</v>
      </c>
      <c r="N147" s="43">
        <f>(F147)*J147*assumptions!$A$3*('Sorted by Region'!M147/100)</f>
        <v>3.658473307649972</v>
      </c>
      <c r="O147" s="43">
        <f>(F147)*J147*(assumptions!$A$3)*((100-'Sorted by Region'!M147)/100)</f>
        <v>7.4662720564285148E-2</v>
      </c>
      <c r="P147" s="43"/>
      <c r="AA147" s="24"/>
      <c r="AB147" s="24"/>
      <c r="AC147" s="24"/>
      <c r="AD147" s="24"/>
      <c r="AE147" s="61"/>
      <c r="AF147" s="5"/>
    </row>
    <row r="148" spans="1:32" ht="12.95" customHeight="1" x14ac:dyDescent="0.2">
      <c r="A148" s="1" t="s">
        <v>55</v>
      </c>
      <c r="B148" s="1" t="s">
        <v>29</v>
      </c>
      <c r="C148" s="8" t="s">
        <v>30</v>
      </c>
      <c r="D148" s="10"/>
      <c r="E148" s="10"/>
      <c r="F148" s="18">
        <f>F206</f>
        <v>1.5556029786708298E-3</v>
      </c>
      <c r="G148" s="12">
        <v>58069</v>
      </c>
      <c r="H148" s="12">
        <v>130</v>
      </c>
      <c r="I148" s="13">
        <f t="shared" si="17"/>
        <v>58199</v>
      </c>
      <c r="J148" s="43">
        <f t="shared" si="18"/>
        <v>58225</v>
      </c>
      <c r="K148" s="41">
        <f>(F148)*J148*assumptions!$A$3</f>
        <v>58.873739231520894</v>
      </c>
      <c r="L148" s="66"/>
      <c r="M148" s="35">
        <v>98</v>
      </c>
      <c r="N148" s="43">
        <f>(F148)*J148*assumptions!$A$3*('Sorted by Region'!M148/100)</f>
        <v>57.696264446890474</v>
      </c>
      <c r="O148" s="43">
        <f>(F148)*J148*(assumptions!$A$3)*((100-'Sorted by Region'!M148)/100)</f>
        <v>1.1774747846304179</v>
      </c>
      <c r="P148" s="43"/>
      <c r="R148" s="5" t="s">
        <v>2</v>
      </c>
      <c r="S148" s="5" t="s">
        <v>208</v>
      </c>
      <c r="T148" s="43">
        <f>SUM(T123,T127,T131,T135,T139,T143)</f>
        <v>140265.93456350753</v>
      </c>
      <c r="U148" s="43">
        <f>SUM(U123,U127,U131,U135,U139,U143)</f>
        <v>1003.07881514392</v>
      </c>
      <c r="V148" s="13">
        <f>SUM(V123,V127,V131,V135,V139,V143)</f>
        <v>43975.758213848385</v>
      </c>
      <c r="W148" s="13">
        <f>SUM(W123,W127,W131,W135,W139,W143)</f>
        <v>185244.77159249983</v>
      </c>
      <c r="AD148" s="24"/>
      <c r="AE148" s="61"/>
      <c r="AF148" s="5"/>
    </row>
    <row r="149" spans="1:32" ht="12.95" customHeight="1" x14ac:dyDescent="0.2">
      <c r="A149" s="1" t="s">
        <v>55</v>
      </c>
      <c r="B149" s="1" t="s">
        <v>98</v>
      </c>
      <c r="C149" s="8" t="s">
        <v>99</v>
      </c>
      <c r="D149" s="10"/>
      <c r="E149" s="10"/>
      <c r="F149" s="18">
        <f>F206</f>
        <v>1.5556029786708298E-3</v>
      </c>
      <c r="G149" s="12">
        <v>372234</v>
      </c>
      <c r="H149" s="12">
        <v>1230</v>
      </c>
      <c r="I149" s="13">
        <f t="shared" si="17"/>
        <v>373464</v>
      </c>
      <c r="J149" s="43">
        <f t="shared" si="18"/>
        <v>373710</v>
      </c>
      <c r="K149" s="41">
        <f>(F149)*J149*assumptions!$A$3</f>
        <v>377.87385295339931</v>
      </c>
      <c r="L149" s="66"/>
      <c r="M149" s="35">
        <v>98</v>
      </c>
      <c r="N149" s="43">
        <f>(F149)*J149*assumptions!$A$3*('Sorted by Region'!M149/100)</f>
        <v>370.31637589433132</v>
      </c>
      <c r="O149" s="43">
        <f>(F149)*J149*(assumptions!$A$3)*((100-'Sorted by Region'!M149)/100)</f>
        <v>7.5574770590679865</v>
      </c>
      <c r="P149" s="43"/>
      <c r="S149" s="5" t="s">
        <v>209</v>
      </c>
      <c r="T149" s="43">
        <f t="shared" ref="T149:U151" si="19">SUM(T124,T128,T132,T136,T140,T144)</f>
        <v>105525.55554984655</v>
      </c>
      <c r="U149" s="51">
        <f t="shared" si="19"/>
        <v>2045.2901855537498</v>
      </c>
      <c r="V149" s="29"/>
      <c r="W149" s="38">
        <f>SUM(W124,W128,W132,W136,W140,W144)</f>
        <v>151546.6039492487</v>
      </c>
      <c r="AA149" s="24"/>
      <c r="AB149" s="24"/>
      <c r="AC149" s="24"/>
      <c r="AD149" s="24"/>
      <c r="AE149" s="61"/>
      <c r="AF149" s="5"/>
    </row>
    <row r="150" spans="1:32" ht="12.95" customHeight="1" x14ac:dyDescent="0.2">
      <c r="A150" s="1" t="s">
        <v>55</v>
      </c>
      <c r="B150" s="1" t="s">
        <v>31</v>
      </c>
      <c r="C150" s="8" t="s">
        <v>32</v>
      </c>
      <c r="D150" s="10"/>
      <c r="E150" s="10"/>
      <c r="F150" s="18">
        <f>F206</f>
        <v>1.5556029786708298E-3</v>
      </c>
      <c r="G150" s="12">
        <v>104633</v>
      </c>
      <c r="H150" s="12">
        <v>270</v>
      </c>
      <c r="I150" s="13">
        <f t="shared" si="17"/>
        <v>104903</v>
      </c>
      <c r="J150" s="43">
        <f t="shared" si="18"/>
        <v>104957</v>
      </c>
      <c r="K150" s="41">
        <f>(F150)*J150*assumptions!$A$3</f>
        <v>106.1264241910303</v>
      </c>
      <c r="L150" s="66"/>
      <c r="M150" s="35">
        <v>98</v>
      </c>
      <c r="N150" s="43">
        <f>(F150)*J150*assumptions!$A$3*('Sorted by Region'!M150/100)</f>
        <v>104.00389570720969</v>
      </c>
      <c r="O150" s="43">
        <f>(F150)*J150*(assumptions!$A$3)*((100-'Sorted by Region'!M150)/100)</f>
        <v>2.1225284838206058</v>
      </c>
      <c r="P150" s="43"/>
      <c r="S150" s="5" t="s">
        <v>210</v>
      </c>
      <c r="T150" s="43">
        <f t="shared" si="19"/>
        <v>70785.17653618558</v>
      </c>
      <c r="U150" s="51">
        <f t="shared" si="19"/>
        <v>3087.5015559635794</v>
      </c>
      <c r="V150" s="29"/>
      <c r="W150" s="13">
        <f>SUM(W125,W129,W133,W137,W141,W145)</f>
        <v>117848.43630599754</v>
      </c>
      <c r="AA150" s="24"/>
      <c r="AB150" s="24"/>
      <c r="AC150" s="24"/>
      <c r="AD150" s="24"/>
      <c r="AE150" s="61"/>
      <c r="AF150" s="5"/>
    </row>
    <row r="151" spans="1:32" ht="12.95" customHeight="1" x14ac:dyDescent="0.2">
      <c r="A151" s="1" t="s">
        <v>55</v>
      </c>
      <c r="B151" s="1" t="s">
        <v>102</v>
      </c>
      <c r="C151" s="8" t="s">
        <v>103</v>
      </c>
      <c r="D151" s="10"/>
      <c r="E151" s="10"/>
      <c r="F151" s="18">
        <f>F206</f>
        <v>1.5556029786708298E-3</v>
      </c>
      <c r="G151" s="12">
        <v>114517</v>
      </c>
      <c r="H151" s="12">
        <v>580</v>
      </c>
      <c r="I151" s="13">
        <f t="shared" si="17"/>
        <v>115097</v>
      </c>
      <c r="J151" s="43">
        <f t="shared" si="18"/>
        <v>115213</v>
      </c>
      <c r="K151" s="41">
        <f>(F151)*J151*assumptions!$A$3</f>
        <v>116.4966958880415</v>
      </c>
      <c r="L151" s="66">
        <v>98</v>
      </c>
      <c r="M151" s="36">
        <v>98</v>
      </c>
      <c r="N151" s="43">
        <f>(F151)*J151*assumptions!$A$3*('Sorted by Region'!M151/100)</f>
        <v>114.16676197028067</v>
      </c>
      <c r="O151" s="43">
        <f>(F151)*J151*(assumptions!$A$3)*((100-'Sorted by Region'!M151)/100)</f>
        <v>2.32993391776083</v>
      </c>
      <c r="P151" s="43"/>
      <c r="S151" s="72" t="s">
        <v>434</v>
      </c>
      <c r="T151" s="62">
        <f t="shared" si="19"/>
        <v>32700.408345824468</v>
      </c>
      <c r="U151" s="62">
        <f t="shared" si="19"/>
        <v>4230.0446016744145</v>
      </c>
      <c r="V151" s="59"/>
      <c r="W151" s="59">
        <f>SUM(W126,W130,W134,W138,W142,W146)</f>
        <v>80906.211161347266</v>
      </c>
      <c r="AA151" s="24"/>
      <c r="AB151" s="24"/>
      <c r="AC151" s="24"/>
      <c r="AD151" s="24"/>
      <c r="AE151" s="61"/>
      <c r="AF151" s="5"/>
    </row>
    <row r="152" spans="1:32" ht="12.95" customHeight="1" x14ac:dyDescent="0.2">
      <c r="A152" s="1" t="s">
        <v>55</v>
      </c>
      <c r="B152" s="1" t="s">
        <v>164</v>
      </c>
      <c r="C152" s="8" t="s">
        <v>165</v>
      </c>
      <c r="D152" s="10"/>
      <c r="E152" s="10"/>
      <c r="F152" s="18">
        <f>F206</f>
        <v>1.5556029786708298E-3</v>
      </c>
      <c r="G152" s="12">
        <v>1545359</v>
      </c>
      <c r="H152" s="12">
        <v>15070</v>
      </c>
      <c r="I152" s="13">
        <f t="shared" si="17"/>
        <v>1560429</v>
      </c>
      <c r="J152" s="43">
        <f t="shared" si="18"/>
        <v>1563443</v>
      </c>
      <c r="K152" s="41">
        <f>(F152)*J152*assumptions!$A$3</f>
        <v>1580.8627820583379</v>
      </c>
      <c r="L152" s="66"/>
      <c r="M152" s="35">
        <v>98</v>
      </c>
      <c r="N152" s="43">
        <f>(F152)*J152*assumptions!$A$3*('Sorted by Region'!M152/100)</f>
        <v>1549.245526417171</v>
      </c>
      <c r="O152" s="43">
        <f>(F152)*J152*(assumptions!$A$3)*((100-'Sorted by Region'!M152)/100)</f>
        <v>31.617255641166757</v>
      </c>
      <c r="P152" s="43"/>
      <c r="W152" s="55"/>
      <c r="AA152" s="24"/>
      <c r="AB152" s="24"/>
      <c r="AC152" s="24"/>
      <c r="AD152" s="24"/>
      <c r="AE152" s="61"/>
      <c r="AF152" s="5"/>
    </row>
    <row r="153" spans="1:32" ht="12.95" customHeight="1" x14ac:dyDescent="0.2">
      <c r="A153" s="1" t="s">
        <v>55</v>
      </c>
      <c r="B153" s="1" t="s">
        <v>41</v>
      </c>
      <c r="C153" s="8" t="s">
        <v>42</v>
      </c>
      <c r="D153" s="10"/>
      <c r="E153" s="10"/>
      <c r="F153" s="18">
        <f>F206</f>
        <v>1.5556029786708298E-3</v>
      </c>
      <c r="G153" s="12">
        <v>107293</v>
      </c>
      <c r="H153" s="12">
        <v>290</v>
      </c>
      <c r="I153" s="13">
        <f t="shared" si="17"/>
        <v>107583</v>
      </c>
      <c r="J153" s="43">
        <f t="shared" si="18"/>
        <v>107641</v>
      </c>
      <c r="K153" s="41">
        <f>(F153)*J153*assumptions!$A$3</f>
        <v>108.84032914761943</v>
      </c>
      <c r="L153" s="66"/>
      <c r="M153" s="35">
        <v>98</v>
      </c>
      <c r="N153" s="43">
        <f>(F153)*J153*assumptions!$A$3*('Sorted by Region'!M153/100)</f>
        <v>106.66352256466703</v>
      </c>
      <c r="O153" s="43">
        <f>(F153)*J153*(assumptions!$A$3)*((100-'Sorted by Region'!M153)/100)</f>
        <v>2.1768065829523886</v>
      </c>
      <c r="P153" s="43"/>
      <c r="AA153" s="24"/>
      <c r="AB153" s="24"/>
      <c r="AC153" s="24"/>
      <c r="AD153" s="24"/>
      <c r="AE153" s="61"/>
      <c r="AF153" s="5"/>
    </row>
    <row r="154" spans="1:32" ht="12.95" customHeight="1" x14ac:dyDescent="0.2">
      <c r="A154" s="1" t="s">
        <v>55</v>
      </c>
      <c r="B154" s="1" t="s">
        <v>37</v>
      </c>
      <c r="C154" s="8" t="s">
        <v>38</v>
      </c>
      <c r="D154" s="10"/>
      <c r="E154" s="10"/>
      <c r="F154" s="18">
        <f>F206</f>
        <v>1.5556029786708298E-3</v>
      </c>
      <c r="G154" s="12">
        <v>19473</v>
      </c>
      <c r="H154" s="12">
        <v>70</v>
      </c>
      <c r="I154" s="13">
        <f t="shared" si="17"/>
        <v>19543</v>
      </c>
      <c r="J154" s="43">
        <f t="shared" si="18"/>
        <v>19557</v>
      </c>
      <c r="K154" s="41">
        <f>(F154)*J154*assumptions!$A$3</f>
        <v>19.774902845012523</v>
      </c>
      <c r="L154" s="66">
        <v>98</v>
      </c>
      <c r="M154" s="40">
        <v>98</v>
      </c>
      <c r="N154" s="43">
        <f>(F154)*J154*assumptions!$A$3*('Sorted by Region'!M154/100)</f>
        <v>19.379404788112272</v>
      </c>
      <c r="O154" s="43">
        <f>(F154)*J154*(assumptions!$A$3)*((100-'Sorted by Region'!M154)/100)</f>
        <v>0.39549805690025047</v>
      </c>
      <c r="P154" s="43"/>
      <c r="AA154" s="24"/>
      <c r="AB154" s="24"/>
      <c r="AC154" s="24"/>
      <c r="AD154" s="24"/>
      <c r="AE154" s="61"/>
      <c r="AF154" s="5"/>
    </row>
    <row r="155" spans="1:32" ht="12.95" customHeight="1" x14ac:dyDescent="0.2">
      <c r="A155" s="1" t="s">
        <v>55</v>
      </c>
      <c r="B155" s="1" t="s">
        <v>174</v>
      </c>
      <c r="C155" s="8" t="s">
        <v>175</v>
      </c>
      <c r="D155" s="10"/>
      <c r="E155" s="10"/>
      <c r="F155" s="18">
        <f>F206</f>
        <v>1.5556029786708298E-3</v>
      </c>
      <c r="G155" s="12">
        <v>54951</v>
      </c>
      <c r="H155" s="12">
        <v>200</v>
      </c>
      <c r="I155" s="13">
        <f t="shared" si="17"/>
        <v>55151</v>
      </c>
      <c r="J155" s="43">
        <f t="shared" si="18"/>
        <v>55191</v>
      </c>
      <c r="K155" s="41">
        <f>(F155)*J155*assumptions!$A$3</f>
        <v>55.80593459728415</v>
      </c>
      <c r="L155" s="66"/>
      <c r="M155" s="35">
        <v>98</v>
      </c>
      <c r="N155" s="43">
        <f>(F155)*J155*assumptions!$A$3*('Sorted by Region'!M155/100)</f>
        <v>54.689815905338463</v>
      </c>
      <c r="O155" s="43">
        <f>(F155)*J155*(assumptions!$A$3)*((100-'Sorted by Region'!M155)/100)</f>
        <v>1.1161186919456829</v>
      </c>
      <c r="P155" s="43"/>
      <c r="AD155" s="24"/>
      <c r="AE155" s="61"/>
      <c r="AF155" s="5"/>
    </row>
    <row r="156" spans="1:32" ht="12.95" customHeight="1" x14ac:dyDescent="0.2">
      <c r="A156" s="1" t="s">
        <v>55</v>
      </c>
      <c r="B156" s="1" t="s">
        <v>108</v>
      </c>
      <c r="C156" s="8" t="s">
        <v>109</v>
      </c>
      <c r="D156" s="10"/>
      <c r="E156" s="10"/>
      <c r="F156" s="18">
        <f>F206</f>
        <v>1.5556029786708298E-3</v>
      </c>
      <c r="G156" s="19">
        <f>31817*0.00902</f>
        <v>286.98934000000003</v>
      </c>
      <c r="H156" s="12">
        <v>0</v>
      </c>
      <c r="I156" s="13">
        <f t="shared" si="17"/>
        <v>286.98934000000003</v>
      </c>
      <c r="J156" s="43">
        <f t="shared" si="18"/>
        <v>286.98934000000003</v>
      </c>
      <c r="K156" s="41">
        <f>(F156)*J156*assumptions!$A$3</f>
        <v>0.29018695689800411</v>
      </c>
      <c r="L156" s="66"/>
      <c r="M156" s="35">
        <v>98</v>
      </c>
      <c r="N156" s="43">
        <f>(F156)*J156*assumptions!$A$3*('Sorted by Region'!M156/100)</f>
        <v>0.28438321776004405</v>
      </c>
      <c r="O156" s="43">
        <f>(F156)*J156*(assumptions!$A$3)*((100-'Sorted by Region'!M156)/100)</f>
        <v>5.8037391379600822E-3</v>
      </c>
      <c r="P156" s="43"/>
      <c r="AD156" s="24"/>
      <c r="AE156" s="61"/>
      <c r="AF156" s="5"/>
    </row>
    <row r="157" spans="1:32" ht="12.95" customHeight="1" x14ac:dyDescent="0.2">
      <c r="A157" s="1" t="s">
        <v>55</v>
      </c>
      <c r="B157" s="1" t="s">
        <v>188</v>
      </c>
      <c r="C157" s="8" t="s">
        <v>189</v>
      </c>
      <c r="D157" s="10"/>
      <c r="E157" s="10"/>
      <c r="F157" s="18">
        <f>F206</f>
        <v>1.5556029786708298E-3</v>
      </c>
      <c r="G157" s="12">
        <v>110667</v>
      </c>
      <c r="H157" s="12">
        <v>1420</v>
      </c>
      <c r="I157" s="13">
        <f t="shared" si="17"/>
        <v>112087</v>
      </c>
      <c r="J157" s="43">
        <f t="shared" si="18"/>
        <v>112371</v>
      </c>
      <c r="K157" s="41">
        <f>(F157)*J157*assumptions!$A$3</f>
        <v>113.62303050554287</v>
      </c>
      <c r="L157" s="66">
        <v>99</v>
      </c>
      <c r="M157" s="36">
        <v>99</v>
      </c>
      <c r="N157" s="43">
        <f>(F157)*J157*assumptions!$A$3*('Sorted by Region'!M157/100)</f>
        <v>112.48680020048744</v>
      </c>
      <c r="O157" s="43">
        <f>(F157)*J157*(assumptions!$A$3)*((100-'Sorted by Region'!M157)/100)</f>
        <v>1.1362303050554288</v>
      </c>
      <c r="P157" s="43"/>
      <c r="AD157" s="24"/>
      <c r="AE157" s="61"/>
      <c r="AF157" s="5"/>
    </row>
    <row r="158" spans="1:32" ht="12.95" customHeight="1" x14ac:dyDescent="0.2">
      <c r="A158" s="1" t="s">
        <v>55</v>
      </c>
      <c r="B158" s="1" t="s">
        <v>186</v>
      </c>
      <c r="C158" s="8" t="s">
        <v>187</v>
      </c>
      <c r="D158" s="10"/>
      <c r="E158" s="10"/>
      <c r="F158" s="18">
        <f>F206</f>
        <v>1.5556029786708298E-3</v>
      </c>
      <c r="G158" s="12">
        <v>1348091</v>
      </c>
      <c r="H158" s="12">
        <v>15970</v>
      </c>
      <c r="I158" s="13">
        <f t="shared" si="17"/>
        <v>1364061</v>
      </c>
      <c r="J158" s="43">
        <f t="shared" si="18"/>
        <v>1367255</v>
      </c>
      <c r="K158" s="41">
        <f>(F158)*J158*assumptions!$A$3</f>
        <v>1382.4888678916807</v>
      </c>
      <c r="L158" s="66">
        <v>92</v>
      </c>
      <c r="M158" s="40">
        <v>92</v>
      </c>
      <c r="N158" s="43">
        <f>(F158)*J158*assumptions!$A$3*('Sorted by Region'!M158/100)</f>
        <v>1271.8897584603462</v>
      </c>
      <c r="O158" s="43">
        <f>(F158)*J158*(assumptions!$A$3)*((100-'Sorted by Region'!M158)/100)</f>
        <v>110.59910943133445</v>
      </c>
      <c r="P158" s="43"/>
      <c r="AD158" s="24"/>
      <c r="AE158" s="61"/>
      <c r="AF158" s="5"/>
    </row>
    <row r="159" spans="1:32" ht="12.95" customHeight="1" x14ac:dyDescent="0.2">
      <c r="A159" s="1" t="s">
        <v>55</v>
      </c>
      <c r="B159" s="1" t="s">
        <v>260</v>
      </c>
      <c r="C159" s="8" t="s">
        <v>261</v>
      </c>
      <c r="D159" s="10"/>
      <c r="E159" s="10"/>
      <c r="F159" s="18">
        <f>F206</f>
        <v>1.5556029786708298E-3</v>
      </c>
      <c r="G159" s="12">
        <v>458737</v>
      </c>
      <c r="H159" s="12">
        <v>3790</v>
      </c>
      <c r="I159" s="13">
        <f t="shared" si="17"/>
        <v>462527</v>
      </c>
      <c r="J159" s="43">
        <f t="shared" si="18"/>
        <v>463285</v>
      </c>
      <c r="K159" s="41">
        <f>(F159)*J159*assumptions!$A$3</f>
        <v>468.44689188278505</v>
      </c>
      <c r="L159" s="66">
        <v>99</v>
      </c>
      <c r="M159" s="36">
        <v>99</v>
      </c>
      <c r="N159" s="43">
        <f>(F159)*J159*assumptions!$A$3*('Sorted by Region'!M159/100)</f>
        <v>463.76242296395719</v>
      </c>
      <c r="O159" s="43">
        <f>(F159)*J159*(assumptions!$A$3)*((100-'Sorted by Region'!M159)/100)</f>
        <v>4.684468918827851</v>
      </c>
      <c r="P159" s="43"/>
      <c r="AD159" s="24"/>
      <c r="AE159" s="61"/>
      <c r="AF159" s="5"/>
    </row>
    <row r="160" spans="1:32" ht="12.95" customHeight="1" x14ac:dyDescent="0.2">
      <c r="A160" s="1"/>
      <c r="B160" s="1"/>
      <c r="C160" s="8"/>
      <c r="D160" s="10"/>
      <c r="E160" s="10"/>
      <c r="F160" s="4"/>
      <c r="G160" s="12"/>
      <c r="H160" s="12"/>
      <c r="I160" s="13"/>
      <c r="J160" s="43"/>
      <c r="K160" s="42">
        <f>SUM(K107:K159)</f>
        <v>21601.858296547151</v>
      </c>
      <c r="L160" s="66"/>
      <c r="M160" s="36"/>
      <c r="N160" s="49">
        <f>SUM(N107:N159)</f>
        <v>21038.313691211049</v>
      </c>
      <c r="O160" s="49">
        <f>SUM(O107:O159)</f>
        <v>563.54460533610677</v>
      </c>
      <c r="P160" s="49"/>
      <c r="AD160" s="24"/>
      <c r="AE160" s="61"/>
      <c r="AF160" s="5"/>
    </row>
    <row r="161" spans="1:32" ht="12.95" customHeight="1" x14ac:dyDescent="0.2">
      <c r="A161" s="1" t="s">
        <v>264</v>
      </c>
      <c r="B161" s="1" t="s">
        <v>322</v>
      </c>
      <c r="C161" s="8" t="s">
        <v>323</v>
      </c>
      <c r="D161" s="10"/>
      <c r="E161" s="10">
        <v>0</v>
      </c>
      <c r="F161" s="10">
        <v>0</v>
      </c>
      <c r="G161" s="12">
        <v>5725</v>
      </c>
      <c r="H161" s="12">
        <v>80</v>
      </c>
      <c r="I161" s="13">
        <f t="shared" ref="I161:I171" si="20">SUM(G161+H161)</f>
        <v>5805</v>
      </c>
      <c r="J161" s="43">
        <f t="shared" ref="J161:J171" si="21">G161+H161+(0.2*H161)</f>
        <v>5821</v>
      </c>
      <c r="K161" s="41">
        <f>(F161)*J161*assumptions!$A$3</f>
        <v>0</v>
      </c>
      <c r="L161" s="66">
        <v>81</v>
      </c>
      <c r="M161" s="36">
        <v>81</v>
      </c>
      <c r="N161" s="43">
        <f>(F161)*J161*assumptions!$A$3*('Sorted by Region'!M161/100)</f>
        <v>0</v>
      </c>
      <c r="O161" s="43">
        <f>(F161)*J161*(assumptions!$A$3)*((100-'Sorted by Region'!M161)/100)</f>
        <v>0</v>
      </c>
      <c r="P161" s="43"/>
      <c r="AD161" s="24"/>
      <c r="AE161" s="61"/>
      <c r="AF161" s="5"/>
    </row>
    <row r="162" spans="1:32" ht="12.95" customHeight="1" x14ac:dyDescent="0.2">
      <c r="A162" s="1" t="s">
        <v>264</v>
      </c>
      <c r="B162" s="1" t="s">
        <v>324</v>
      </c>
      <c r="C162" s="8" t="s">
        <v>325</v>
      </c>
      <c r="D162" s="10">
        <v>3.4868082421505306E-4</v>
      </c>
      <c r="E162" s="10">
        <v>2.1636288148576977E-4</v>
      </c>
      <c r="F162" s="10">
        <v>3.4868082421505306E-4</v>
      </c>
      <c r="G162" s="12">
        <v>365481</v>
      </c>
      <c r="H162" s="12">
        <v>6540</v>
      </c>
      <c r="I162" s="13">
        <f t="shared" si="20"/>
        <v>372021</v>
      </c>
      <c r="J162" s="43">
        <f t="shared" si="21"/>
        <v>373329</v>
      </c>
      <c r="K162" s="41">
        <f>(F162)*J162*assumptions!$A$3</f>
        <v>84.612231225198016</v>
      </c>
      <c r="L162" s="66">
        <v>99</v>
      </c>
      <c r="M162" s="36">
        <v>99</v>
      </c>
      <c r="N162" s="43">
        <f>(F162)*J162*assumptions!$A$3*('Sorted by Region'!M162/100)</f>
        <v>83.766108912946038</v>
      </c>
      <c r="O162" s="43">
        <f>(F162)*J162*(assumptions!$A$3)*((100-'Sorted by Region'!M162)/100)</f>
        <v>0.8461223122519802</v>
      </c>
      <c r="P162" s="43"/>
    </row>
    <row r="163" spans="1:32" ht="12.95" customHeight="1" x14ac:dyDescent="0.2">
      <c r="A163" s="1" t="s">
        <v>264</v>
      </c>
      <c r="B163" s="1" t="s">
        <v>348</v>
      </c>
      <c r="C163" s="8" t="s">
        <v>349</v>
      </c>
      <c r="D163" s="10">
        <v>1.5031101587859987E-3</v>
      </c>
      <c r="E163" s="10">
        <v>1.3413200058797589E-3</v>
      </c>
      <c r="F163" s="10">
        <v>1.5031101587859987E-3</v>
      </c>
      <c r="G163" s="12">
        <v>976823</v>
      </c>
      <c r="H163" s="12">
        <v>4280</v>
      </c>
      <c r="I163" s="13">
        <f t="shared" si="20"/>
        <v>981103</v>
      </c>
      <c r="J163" s="43">
        <f t="shared" si="21"/>
        <v>981959</v>
      </c>
      <c r="K163" s="41">
        <f>(F163)*J163*assumptions!$A$3</f>
        <v>959.39515646737141</v>
      </c>
      <c r="L163" s="66">
        <v>98</v>
      </c>
      <c r="M163" s="36">
        <v>98</v>
      </c>
      <c r="N163" s="43">
        <f>(F163)*J163*assumptions!$A$3*('Sorted by Region'!M163/100)</f>
        <v>940.20725333802397</v>
      </c>
      <c r="O163" s="43">
        <f>(F163)*J163*(assumptions!$A$3)*((100-'Sorted by Region'!M163)/100)</f>
        <v>19.187903129347429</v>
      </c>
      <c r="P163" s="43"/>
      <c r="AD163" s="24"/>
      <c r="AE163" s="61"/>
      <c r="AF163" s="5"/>
    </row>
    <row r="164" spans="1:32" ht="12.95" customHeight="1" x14ac:dyDescent="0.2">
      <c r="A164" s="1" t="s">
        <v>264</v>
      </c>
      <c r="B164" s="1" t="s">
        <v>423</v>
      </c>
      <c r="C164" s="8" t="s">
        <v>424</v>
      </c>
      <c r="D164" s="10">
        <v>6.2274982971684345E-3</v>
      </c>
      <c r="E164" s="10">
        <v>6.2274982971684345E-3</v>
      </c>
      <c r="F164" s="10">
        <v>6.2274982971684345E-3</v>
      </c>
      <c r="G164" s="12">
        <v>3429541</v>
      </c>
      <c r="H164" s="12">
        <v>131480</v>
      </c>
      <c r="I164" s="13">
        <f t="shared" si="20"/>
        <v>3561021</v>
      </c>
      <c r="J164" s="43">
        <f t="shared" si="21"/>
        <v>3587317</v>
      </c>
      <c r="K164" s="41">
        <f>(F164)*J164*assumptions!$A$3</f>
        <v>14521.006830787197</v>
      </c>
      <c r="L164" s="66">
        <v>51</v>
      </c>
      <c r="M164" s="36">
        <v>51</v>
      </c>
      <c r="N164" s="43">
        <f>(F164)*J164*assumptions!$A$3*('Sorted by Region'!M164/100)</f>
        <v>7405.713483701471</v>
      </c>
      <c r="O164" s="43">
        <f>(F164)*J164*(assumptions!$A$3)*((100-'Sorted by Region'!M164)/100)</f>
        <v>7115.2933470857261</v>
      </c>
      <c r="P164" s="43"/>
      <c r="AD164" s="24"/>
      <c r="AE164" s="61"/>
      <c r="AF164" s="5"/>
    </row>
    <row r="165" spans="1:32" ht="12.95" customHeight="1" x14ac:dyDescent="0.2">
      <c r="A165" s="1" t="s">
        <v>264</v>
      </c>
      <c r="B165" s="1" t="s">
        <v>425</v>
      </c>
      <c r="C165" s="8" t="s">
        <v>426</v>
      </c>
      <c r="D165" s="10">
        <v>2.0419785226163358E-2</v>
      </c>
      <c r="E165" s="10">
        <v>7.4371560315335417E-3</v>
      </c>
      <c r="F165" s="10">
        <v>2.0419785226163358E-2</v>
      </c>
      <c r="G165" s="12">
        <v>1019702</v>
      </c>
      <c r="H165" s="12">
        <v>20840</v>
      </c>
      <c r="I165" s="13">
        <f t="shared" si="20"/>
        <v>1040542</v>
      </c>
      <c r="J165" s="43">
        <f t="shared" si="21"/>
        <v>1044710</v>
      </c>
      <c r="K165" s="41">
        <f>(F165)*J165*assumptions!$A$3</f>
        <v>13866.289985356329</v>
      </c>
      <c r="L165" s="66">
        <v>76</v>
      </c>
      <c r="M165" s="36">
        <v>76</v>
      </c>
      <c r="N165" s="43">
        <f>(F165)*J165*assumptions!$A$3*('Sorted by Region'!M165/100)</f>
        <v>10538.38038887081</v>
      </c>
      <c r="O165" s="43">
        <f>(F165)*J165*(assumptions!$A$3)*((100-'Sorted by Region'!M165)/100)</f>
        <v>3327.9095964855187</v>
      </c>
      <c r="P165" s="43"/>
      <c r="AD165" s="24"/>
      <c r="AE165" s="61"/>
      <c r="AF165" s="5"/>
    </row>
    <row r="166" spans="1:32" ht="12.95" customHeight="1" x14ac:dyDescent="0.2">
      <c r="A166" s="1" t="s">
        <v>264</v>
      </c>
      <c r="B166" s="1" t="s">
        <v>265</v>
      </c>
      <c r="C166" s="8" t="s">
        <v>294</v>
      </c>
      <c r="D166" s="10">
        <v>2.2621777962161357E-2</v>
      </c>
      <c r="E166" s="10">
        <v>3.5171358128556571E-3</v>
      </c>
      <c r="F166" s="10">
        <v>2.2621777962161357E-2</v>
      </c>
      <c r="G166" s="12">
        <v>26912842</v>
      </c>
      <c r="H166" s="12">
        <v>613190</v>
      </c>
      <c r="I166" s="13">
        <f t="shared" si="20"/>
        <v>27526032</v>
      </c>
      <c r="J166" s="43">
        <f t="shared" si="21"/>
        <v>27648670</v>
      </c>
      <c r="K166" s="41">
        <f>(F166)*J166*assumptions!$A$3</f>
        <v>406550.34789789672</v>
      </c>
      <c r="L166" s="66">
        <v>74</v>
      </c>
      <c r="M166" s="36">
        <v>74</v>
      </c>
      <c r="N166" s="43">
        <f>(F166)*J166*assumptions!$A$3*('Sorted by Region'!M166/100)</f>
        <v>300847.25744444359</v>
      </c>
      <c r="O166" s="43">
        <f>(F166)*J166*(assumptions!$A$3)*((100-'Sorted by Region'!M166)/100)</f>
        <v>105703.09045345314</v>
      </c>
      <c r="P166" s="43"/>
      <c r="AD166" s="24"/>
      <c r="AE166" s="61"/>
      <c r="AF166" s="5"/>
    </row>
    <row r="167" spans="1:32" ht="12.95" customHeight="1" x14ac:dyDescent="0.2">
      <c r="A167" s="1" t="s">
        <v>264</v>
      </c>
      <c r="B167" s="1" t="s">
        <v>332</v>
      </c>
      <c r="C167" s="8" t="s">
        <v>333</v>
      </c>
      <c r="D167" s="10">
        <v>5.8252427184466021E-2</v>
      </c>
      <c r="E167" s="10">
        <v>1.1712439418416801E-2</v>
      </c>
      <c r="F167" s="10">
        <v>5.8252427184466021E-2</v>
      </c>
      <c r="G167" s="12">
        <v>4219718</v>
      </c>
      <c r="H167" s="12">
        <v>63830</v>
      </c>
      <c r="I167" s="13">
        <f t="shared" si="20"/>
        <v>4283548</v>
      </c>
      <c r="J167" s="43">
        <f t="shared" si="21"/>
        <v>4296314</v>
      </c>
      <c r="K167" s="41">
        <f>(F167)*J167*assumptions!$A$3</f>
        <v>162675.96699029126</v>
      </c>
      <c r="L167" s="66">
        <v>93</v>
      </c>
      <c r="M167" s="36">
        <v>93</v>
      </c>
      <c r="N167" s="43">
        <f>(F167)*J167*assumptions!$A$3*('Sorted by Region'!M167/100)</f>
        <v>151288.64930097086</v>
      </c>
      <c r="O167" s="43">
        <f>(F167)*J167*(assumptions!$A$3)*((100-'Sorted by Region'!M167)/100)</f>
        <v>11387.317689320389</v>
      </c>
      <c r="P167" s="43"/>
      <c r="AD167" s="24"/>
      <c r="AE167" s="61"/>
      <c r="AF167" s="5"/>
    </row>
    <row r="168" spans="1:32" ht="12.95" customHeight="1" x14ac:dyDescent="0.2">
      <c r="A168" s="1" t="s">
        <v>264</v>
      </c>
      <c r="B168" s="1" t="s">
        <v>356</v>
      </c>
      <c r="C168" s="8" t="s">
        <v>357</v>
      </c>
      <c r="D168" s="10"/>
      <c r="E168" s="10"/>
      <c r="F168" s="18">
        <f>F207</f>
        <v>6.2274982971684345E-3</v>
      </c>
      <c r="G168" s="12">
        <v>14746</v>
      </c>
      <c r="H168" s="12">
        <v>360</v>
      </c>
      <c r="I168" s="13">
        <f t="shared" si="20"/>
        <v>15106</v>
      </c>
      <c r="J168" s="43">
        <f t="shared" si="21"/>
        <v>15178</v>
      </c>
      <c r="K168" s="41">
        <f>(F168)*J168*assumptions!$A$3</f>
        <v>61.438629950374626</v>
      </c>
      <c r="L168" s="66">
        <v>88</v>
      </c>
      <c r="M168" s="36">
        <v>88</v>
      </c>
      <c r="N168" s="43">
        <f>(F168)*J168*assumptions!$A$3*('Sorted by Region'!M168/100)</f>
        <v>54.065994356329668</v>
      </c>
      <c r="O168" s="43">
        <f>(F168)*J168*(assumptions!$A$3)*((100-'Sorted by Region'!M168)/100)</f>
        <v>7.3726355940449544</v>
      </c>
      <c r="P168" s="43"/>
      <c r="AD168" s="24"/>
      <c r="AE168" s="61"/>
      <c r="AF168" s="5"/>
    </row>
    <row r="169" spans="1:32" ht="12.95" customHeight="1" x14ac:dyDescent="0.2">
      <c r="A169" s="1" t="s">
        <v>264</v>
      </c>
      <c r="B169" s="1" t="s">
        <v>132</v>
      </c>
      <c r="C169" s="8" t="s">
        <v>133</v>
      </c>
      <c r="D169" s="10"/>
      <c r="E169" s="10"/>
      <c r="F169" s="18">
        <f>F207</f>
        <v>6.2274982971684345E-3</v>
      </c>
      <c r="G169" s="12">
        <v>327180</v>
      </c>
      <c r="H169" s="12">
        <v>4250</v>
      </c>
      <c r="I169" s="13">
        <f t="shared" si="20"/>
        <v>331430</v>
      </c>
      <c r="J169" s="43">
        <f t="shared" si="21"/>
        <v>332280</v>
      </c>
      <c r="K169" s="41">
        <f>(F169)*J169*assumptions!$A$3</f>
        <v>1345.0275372190329</v>
      </c>
      <c r="L169" s="66"/>
      <c r="M169" s="35">
        <v>79</v>
      </c>
      <c r="N169" s="43">
        <f>(F169)*J169*assumptions!$A$3*('Sorted by Region'!M169/100)</f>
        <v>1062.571754403036</v>
      </c>
      <c r="O169" s="43">
        <f>(F169)*J169*(assumptions!$A$3)*((100-'Sorted by Region'!M169)/100)</f>
        <v>282.45578281599688</v>
      </c>
      <c r="P169" s="43"/>
    </row>
    <row r="170" spans="1:32" ht="12.95" customHeight="1" x14ac:dyDescent="0.2">
      <c r="A170" s="1" t="s">
        <v>264</v>
      </c>
      <c r="B170" s="1" t="s">
        <v>277</v>
      </c>
      <c r="C170" s="8" t="s">
        <v>278</v>
      </c>
      <c r="D170" s="10"/>
      <c r="E170" s="10"/>
      <c r="F170" s="18">
        <f>F207</f>
        <v>6.2274982971684345E-3</v>
      </c>
      <c r="G170" s="12">
        <v>731733</v>
      </c>
      <c r="H170" s="12">
        <v>17760</v>
      </c>
      <c r="I170" s="13">
        <f t="shared" si="20"/>
        <v>749493</v>
      </c>
      <c r="J170" s="43">
        <f t="shared" si="21"/>
        <v>753045</v>
      </c>
      <c r="K170" s="41">
        <f>(F170)*J170*assumptions!$A$3</f>
        <v>3048.2311958742825</v>
      </c>
      <c r="L170" s="66">
        <v>44</v>
      </c>
      <c r="M170" s="36">
        <v>44</v>
      </c>
      <c r="N170" s="43">
        <f>(F170)*J170*assumptions!$A$3*('Sorted by Region'!M170/100)</f>
        <v>1341.2217261846843</v>
      </c>
      <c r="O170" s="43">
        <f>(F170)*J170*(assumptions!$A$3)*((100-'Sorted by Region'!M170)/100)</f>
        <v>1707.0094696895983</v>
      </c>
      <c r="P170" s="43"/>
    </row>
    <row r="171" spans="1:32" ht="12.95" customHeight="1" x14ac:dyDescent="0.2">
      <c r="A171" s="1" t="s">
        <v>264</v>
      </c>
      <c r="B171" s="1" t="s">
        <v>318</v>
      </c>
      <c r="C171" s="8" t="s">
        <v>319</v>
      </c>
      <c r="D171" s="10"/>
      <c r="E171" s="10"/>
      <c r="F171" s="18">
        <f>F207</f>
        <v>6.2274982971684345E-3</v>
      </c>
      <c r="G171" s="12">
        <v>43919</v>
      </c>
      <c r="H171" s="12">
        <v>650</v>
      </c>
      <c r="I171" s="13">
        <f t="shared" si="20"/>
        <v>44569</v>
      </c>
      <c r="J171" s="43">
        <f t="shared" si="21"/>
        <v>44699</v>
      </c>
      <c r="K171" s="41">
        <f>(F171)*J171*assumptions!$A$3</f>
        <v>180.93591515033572</v>
      </c>
      <c r="L171" s="66">
        <v>61</v>
      </c>
      <c r="M171" s="36">
        <v>61</v>
      </c>
      <c r="N171" s="43">
        <f>(F171)*J171*assumptions!$A$3*('Sorted by Region'!M171/100)</f>
        <v>110.37090824170478</v>
      </c>
      <c r="O171" s="43">
        <f>(F171)*J171*(assumptions!$A$3)*((100-'Sorted by Region'!M171)/100)</f>
        <v>70.565006908630934</v>
      </c>
      <c r="P171" s="43"/>
    </row>
    <row r="172" spans="1:32" ht="12.95" customHeight="1" x14ac:dyDescent="0.2">
      <c r="A172" s="1"/>
      <c r="B172" s="1"/>
      <c r="C172" s="8"/>
      <c r="D172" s="10"/>
      <c r="E172" s="10"/>
      <c r="F172" s="4"/>
      <c r="G172" s="12"/>
      <c r="H172" s="12"/>
      <c r="I172" s="13"/>
      <c r="J172" s="43"/>
      <c r="K172" s="42">
        <f>SUM(K161:K171)</f>
        <v>603293.25237021805</v>
      </c>
      <c r="L172" s="66"/>
      <c r="M172" s="36"/>
      <c r="N172" s="49">
        <f>SUM(N161:N171)</f>
        <v>473672.20436342357</v>
      </c>
      <c r="O172" s="49">
        <f>SUM(O161:O171)</f>
        <v>129621.04800679465</v>
      </c>
      <c r="P172" s="49"/>
    </row>
    <row r="173" spans="1:32" ht="12.95" customHeight="1" x14ac:dyDescent="0.2">
      <c r="A173" s="1" t="s">
        <v>70</v>
      </c>
      <c r="B173" s="1" t="s">
        <v>336</v>
      </c>
      <c r="C173" s="8" t="s">
        <v>337</v>
      </c>
      <c r="D173" s="10">
        <v>0</v>
      </c>
      <c r="E173" s="10">
        <v>7.6335877862595417E-3</v>
      </c>
      <c r="F173" s="10">
        <v>0</v>
      </c>
      <c r="G173" s="12">
        <v>169802</v>
      </c>
      <c r="H173" s="12">
        <v>3010</v>
      </c>
      <c r="I173" s="13">
        <f t="shared" ref="I173:I199" si="22">SUM(G173+H173)</f>
        <v>172812</v>
      </c>
      <c r="J173" s="43">
        <f t="shared" ref="J173:J199" si="23">G173+H173+(0.2*H173)</f>
        <v>173414</v>
      </c>
      <c r="K173" s="41">
        <f>(F173)*J173*assumptions!$A$3</f>
        <v>0</v>
      </c>
      <c r="L173" s="66">
        <v>35</v>
      </c>
      <c r="M173" s="36">
        <v>35</v>
      </c>
      <c r="N173" s="43">
        <f>(F173)*J173*assumptions!$A$3*('Sorted by Region'!M173/100)</f>
        <v>0</v>
      </c>
      <c r="O173" s="43">
        <f>(F173)*J173*(assumptions!$A$3)*((100-'Sorted by Region'!M173)/100)</f>
        <v>0</v>
      </c>
      <c r="P173" s="43"/>
    </row>
    <row r="174" spans="1:32" ht="12.95" customHeight="1" x14ac:dyDescent="0.2">
      <c r="A174" s="1" t="s">
        <v>70</v>
      </c>
      <c r="B174" s="1" t="s">
        <v>71</v>
      </c>
      <c r="C174" s="8" t="s">
        <v>72</v>
      </c>
      <c r="D174" s="10">
        <v>7.6954221622795613E-4</v>
      </c>
      <c r="E174" s="10">
        <v>6.9833081901795712E-4</v>
      </c>
      <c r="F174" s="10">
        <v>7.6954221622795613E-4</v>
      </c>
      <c r="G174" s="12">
        <v>550633</v>
      </c>
      <c r="H174" s="12">
        <v>3230</v>
      </c>
      <c r="I174" s="13">
        <f t="shared" si="22"/>
        <v>553863</v>
      </c>
      <c r="J174" s="43">
        <f t="shared" si="23"/>
        <v>554509</v>
      </c>
      <c r="K174" s="41">
        <f>(F174)*J174*assumptions!$A$3</f>
        <v>277.36675510592602</v>
      </c>
      <c r="L174" s="66">
        <v>79</v>
      </c>
      <c r="M174" s="36">
        <v>79</v>
      </c>
      <c r="N174" s="43">
        <f>(F174)*J174*assumptions!$A$3*('Sorted by Region'!M174/100)</f>
        <v>219.11973653368156</v>
      </c>
      <c r="O174" s="43">
        <f>(F174)*J174*(assumptions!$A$3)*((100-'Sorted by Region'!M174)/100)</f>
        <v>58.247018572244464</v>
      </c>
      <c r="P174" s="43"/>
    </row>
    <row r="175" spans="1:32" ht="12.95" customHeight="1" x14ac:dyDescent="0.2">
      <c r="A175" s="1" t="s">
        <v>70</v>
      </c>
      <c r="B175" s="1" t="s">
        <v>271</v>
      </c>
      <c r="C175" s="8" t="s">
        <v>272</v>
      </c>
      <c r="D175" s="10">
        <v>1.6652414600117017E-3</v>
      </c>
      <c r="E175" s="10">
        <v>1.2999999999999999E-3</v>
      </c>
      <c r="F175" s="10">
        <v>1.6652414600117017E-3</v>
      </c>
      <c r="G175" s="12">
        <v>361300</v>
      </c>
      <c r="H175" s="12">
        <v>7020</v>
      </c>
      <c r="I175" s="13">
        <f t="shared" si="22"/>
        <v>368320</v>
      </c>
      <c r="J175" s="43">
        <f t="shared" si="23"/>
        <v>369724</v>
      </c>
      <c r="K175" s="41">
        <f>(F175)*J175*assumptions!$A$3</f>
        <v>400.1918268148882</v>
      </c>
      <c r="L175" s="66">
        <v>69</v>
      </c>
      <c r="M175" s="36">
        <v>69</v>
      </c>
      <c r="N175" s="43">
        <f>(F175)*J175*assumptions!$A$3*('Sorted by Region'!M175/100)</f>
        <v>276.13236050227283</v>
      </c>
      <c r="O175" s="43">
        <f>(F175)*J175*(assumptions!$A$3)*((100-'Sorted by Region'!M175)/100)</f>
        <v>124.05946631261534</v>
      </c>
      <c r="P175" s="43"/>
    </row>
    <row r="176" spans="1:32" ht="12.95" customHeight="1" x14ac:dyDescent="0.2">
      <c r="A176" s="1" t="s">
        <v>70</v>
      </c>
      <c r="B176" s="1" t="s">
        <v>73</v>
      </c>
      <c r="C176" s="8" t="s">
        <v>74</v>
      </c>
      <c r="D176" s="10">
        <v>2.0312500000000001E-3</v>
      </c>
      <c r="E176" s="10">
        <v>2.1207177814029365E-3</v>
      </c>
      <c r="F176" s="10">
        <v>2.0312500000000001E-3</v>
      </c>
      <c r="G176" s="12">
        <v>1493745</v>
      </c>
      <c r="H176" s="12">
        <v>21080</v>
      </c>
      <c r="I176" s="13">
        <f t="shared" si="22"/>
        <v>1514825</v>
      </c>
      <c r="J176" s="43">
        <f t="shared" si="23"/>
        <v>1519041</v>
      </c>
      <c r="K176" s="41">
        <f>(F176)*J176*assumptions!$A$3</f>
        <v>2005.6088203125003</v>
      </c>
      <c r="L176" s="66">
        <v>91</v>
      </c>
      <c r="M176" s="36">
        <v>91</v>
      </c>
      <c r="N176" s="43">
        <f>(F176)*J176*assumptions!$A$3*('Sorted by Region'!M176/100)</f>
        <v>1825.1040264843753</v>
      </c>
      <c r="O176" s="43">
        <f>(F176)*J176*(assumptions!$A$3)*((100-'Sorted by Region'!M176)/100)</f>
        <v>180.504793828125</v>
      </c>
      <c r="P176" s="43"/>
    </row>
    <row r="177" spans="1:16" ht="12.95" customHeight="1" x14ac:dyDescent="0.2">
      <c r="A177" s="1" t="s">
        <v>70</v>
      </c>
      <c r="B177" s="1" t="s">
        <v>338</v>
      </c>
      <c r="C177" s="8" t="s">
        <v>339</v>
      </c>
      <c r="D177" s="10"/>
      <c r="E177" s="10">
        <v>2.3519350010690614E-3</v>
      </c>
      <c r="F177" s="10">
        <v>2.3519350010690614E-3</v>
      </c>
      <c r="G177" s="12">
        <v>2235801</v>
      </c>
      <c r="H177" s="12">
        <v>36370</v>
      </c>
      <c r="I177" s="13">
        <f t="shared" si="22"/>
        <v>2272171</v>
      </c>
      <c r="J177" s="43">
        <f t="shared" si="23"/>
        <v>2279445</v>
      </c>
      <c r="K177" s="41">
        <f>(F177)*J177*assumptions!$A$3</f>
        <v>3484.7192110327137</v>
      </c>
      <c r="L177" s="66">
        <v>91</v>
      </c>
      <c r="M177" s="40">
        <v>91</v>
      </c>
      <c r="N177" s="43">
        <f>(F177)*J177*assumptions!$A$3*('Sorted by Region'!M177/100)</f>
        <v>3171.0944820397694</v>
      </c>
      <c r="O177" s="43">
        <f>(F177)*J177*(assumptions!$A$3)*((100-'Sorted by Region'!M177)/100)</f>
        <v>313.6247289929442</v>
      </c>
      <c r="P177" s="43"/>
    </row>
    <row r="178" spans="1:16" ht="12.95" customHeight="1" x14ac:dyDescent="0.2">
      <c r="A178" s="1" t="s">
        <v>70</v>
      </c>
      <c r="B178" s="1" t="s">
        <v>376</v>
      </c>
      <c r="C178" s="8" t="s">
        <v>377</v>
      </c>
      <c r="D178" s="10">
        <v>3.2790143084260731E-3</v>
      </c>
      <c r="E178" s="10">
        <v>5.3945552628277505E-3</v>
      </c>
      <c r="F178" s="10">
        <v>3.2790143084260731E-3</v>
      </c>
      <c r="G178" s="12">
        <v>18133735</v>
      </c>
      <c r="H178" s="12">
        <v>165240</v>
      </c>
      <c r="I178" s="13">
        <f t="shared" si="22"/>
        <v>18298975</v>
      </c>
      <c r="J178" s="43">
        <f t="shared" si="23"/>
        <v>18332023</v>
      </c>
      <c r="K178" s="41">
        <f>(F178)*J178*assumptions!$A$3</f>
        <v>39072.127717607313</v>
      </c>
      <c r="L178" s="66">
        <v>91</v>
      </c>
      <c r="M178" s="40">
        <v>91</v>
      </c>
      <c r="N178" s="43">
        <f>(F178)*J178*assumptions!$A$3*('Sorted by Region'!M178/100)</f>
        <v>35555.636223022659</v>
      </c>
      <c r="O178" s="43">
        <f>(F178)*J178*(assumptions!$A$3)*((100-'Sorted by Region'!M178)/100)</f>
        <v>3516.4914945846581</v>
      </c>
      <c r="P178" s="43"/>
    </row>
    <row r="179" spans="1:16" ht="12.95" customHeight="1" x14ac:dyDescent="0.2">
      <c r="A179" s="1" t="s">
        <v>70</v>
      </c>
      <c r="B179" s="1" t="s">
        <v>104</v>
      </c>
      <c r="C179" s="8" t="s">
        <v>105</v>
      </c>
      <c r="D179" s="10">
        <v>4.1910083820167641E-3</v>
      </c>
      <c r="E179" s="10"/>
      <c r="F179" s="10">
        <v>4.1910083820167641E-3</v>
      </c>
      <c r="G179" s="12">
        <v>7775</v>
      </c>
      <c r="H179" s="12">
        <v>50</v>
      </c>
      <c r="I179" s="13">
        <f t="shared" si="22"/>
        <v>7825</v>
      </c>
      <c r="J179" s="43">
        <f t="shared" si="23"/>
        <v>7835</v>
      </c>
      <c r="K179" s="41">
        <f>(F179)*J179*assumptions!$A$3</f>
        <v>21.343757937515878</v>
      </c>
      <c r="L179" s="66">
        <v>100</v>
      </c>
      <c r="M179" s="40">
        <v>100</v>
      </c>
      <c r="N179" s="43">
        <f>(F179)*J179*assumptions!$A$3*('Sorted by Region'!M179/100)</f>
        <v>21.343757937515878</v>
      </c>
      <c r="O179" s="43">
        <f>(F179)*J179*(assumptions!$A$3)*((100-'Sorted by Region'!M179)/100)</f>
        <v>0</v>
      </c>
      <c r="P179" s="43"/>
    </row>
    <row r="180" spans="1:16" ht="12.95" customHeight="1" x14ac:dyDescent="0.2">
      <c r="A180" s="1" t="s">
        <v>70</v>
      </c>
      <c r="B180" s="1" t="s">
        <v>360</v>
      </c>
      <c r="C180" s="8" t="s">
        <v>361</v>
      </c>
      <c r="D180" s="10">
        <v>1.8876184139102418E-2</v>
      </c>
      <c r="E180" s="10">
        <v>1.9660964470934284E-2</v>
      </c>
      <c r="F180" s="10">
        <v>1.8876184139102418E-2</v>
      </c>
      <c r="G180" s="12">
        <v>49638</v>
      </c>
      <c r="H180" s="12">
        <v>610</v>
      </c>
      <c r="I180" s="13">
        <f t="shared" si="22"/>
        <v>50248</v>
      </c>
      <c r="J180" s="43">
        <f t="shared" si="23"/>
        <v>50370</v>
      </c>
      <c r="K180" s="41">
        <f>(F180)*J180*assumptions!$A$3</f>
        <v>618.01570680628276</v>
      </c>
      <c r="L180" s="66">
        <v>99</v>
      </c>
      <c r="M180" s="40">
        <v>99</v>
      </c>
      <c r="N180" s="43">
        <f>(F180)*J180*assumptions!$A$3*('Sorted by Region'!M180/100)</f>
        <v>611.83554973821992</v>
      </c>
      <c r="O180" s="43">
        <f>(F180)*J180*(assumptions!$A$3)*((100-'Sorted by Region'!M180)/100)</f>
        <v>6.1801570680628277</v>
      </c>
      <c r="P180" s="43"/>
    </row>
    <row r="181" spans="1:16" ht="12.95" customHeight="1" x14ac:dyDescent="0.2">
      <c r="A181" s="1" t="s">
        <v>70</v>
      </c>
      <c r="B181" s="1" t="s">
        <v>354</v>
      </c>
      <c r="C181" s="8" t="s">
        <v>355</v>
      </c>
      <c r="D181" s="10">
        <v>2.3584197085774371E-2</v>
      </c>
      <c r="E181" s="10">
        <v>5.7774001699235342E-2</v>
      </c>
      <c r="F181" s="10">
        <v>2.3584197085774371E-2</v>
      </c>
      <c r="G181" s="12">
        <v>206904</v>
      </c>
      <c r="H181" s="12">
        <v>3170</v>
      </c>
      <c r="I181" s="13">
        <f t="shared" si="22"/>
        <v>210074</v>
      </c>
      <c r="J181" s="43">
        <f t="shared" si="23"/>
        <v>210708</v>
      </c>
      <c r="K181" s="41">
        <f>(F181)*J181*assumptions!$A$3</f>
        <v>3230.0963497070752</v>
      </c>
      <c r="L181" s="66">
        <v>79</v>
      </c>
      <c r="M181" s="40">
        <v>79</v>
      </c>
      <c r="N181" s="43">
        <f>(F181)*J181*assumptions!$A$3*('Sorted by Region'!M181/100)</f>
        <v>2551.7761162685897</v>
      </c>
      <c r="O181" s="43">
        <f>(F181)*J181*(assumptions!$A$3)*((100-'Sorted by Region'!M181)/100)</f>
        <v>678.32023343848573</v>
      </c>
      <c r="P181" s="43"/>
    </row>
    <row r="182" spans="1:16" ht="12.95" customHeight="1" x14ac:dyDescent="0.2">
      <c r="A182" s="1" t="s">
        <v>70</v>
      </c>
      <c r="B182" s="1" t="s">
        <v>350</v>
      </c>
      <c r="C182" s="8" t="s">
        <v>351</v>
      </c>
      <c r="D182" s="10">
        <v>5.1469505912369366E-2</v>
      </c>
      <c r="E182" s="10">
        <v>5.1469505912369366E-2</v>
      </c>
      <c r="F182" s="10">
        <v>5.1469505912369366E-2</v>
      </c>
      <c r="G182" s="12">
        <v>17677</v>
      </c>
      <c r="H182" s="12">
        <v>230</v>
      </c>
      <c r="I182" s="13">
        <f t="shared" si="22"/>
        <v>17907</v>
      </c>
      <c r="J182" s="43">
        <f t="shared" si="23"/>
        <v>17953</v>
      </c>
      <c r="K182" s="41">
        <f>(F182)*J182*assumptions!$A$3</f>
        <v>600.6208257690987</v>
      </c>
      <c r="L182" s="66"/>
      <c r="M182" s="35">
        <v>91</v>
      </c>
      <c r="N182" s="43">
        <f>(F182)*J182*assumptions!$A$3*('Sorted by Region'!M182/100)</f>
        <v>546.5649514498798</v>
      </c>
      <c r="O182" s="43">
        <f>(F182)*J182*(assumptions!$A$3)*((100-'Sorted by Region'!M182)/100)</f>
        <v>54.05587431921888</v>
      </c>
      <c r="P182" s="43"/>
    </row>
    <row r="183" spans="1:16" ht="12.95" customHeight="1" x14ac:dyDescent="0.2">
      <c r="A183" s="1" t="s">
        <v>70</v>
      </c>
      <c r="B183" s="1" t="s">
        <v>342</v>
      </c>
      <c r="C183" s="8" t="s">
        <v>343</v>
      </c>
      <c r="D183" s="10"/>
      <c r="E183" s="10">
        <v>5.6082830025884385E-2</v>
      </c>
      <c r="F183" s="10">
        <v>5.6082830025884385E-2</v>
      </c>
      <c r="G183" s="19">
        <f>100743*0.02273</f>
        <v>2289.8883900000001</v>
      </c>
      <c r="H183" s="12">
        <v>30</v>
      </c>
      <c r="I183" s="13">
        <f t="shared" si="22"/>
        <v>2319.8883900000001</v>
      </c>
      <c r="J183" s="43">
        <f t="shared" si="23"/>
        <v>2325.8883900000001</v>
      </c>
      <c r="K183" s="41">
        <f>(F183)*J183*assumptions!$A$3</f>
        <v>84.787562103106126</v>
      </c>
      <c r="L183" s="66">
        <v>88</v>
      </c>
      <c r="M183" s="36">
        <v>88</v>
      </c>
      <c r="N183" s="43">
        <f>(F183)*J183*assumptions!$A$3*('Sorted by Region'!M183/100)</f>
        <v>74.613054650733389</v>
      </c>
      <c r="O183" s="43">
        <f>(F183)*J183*(assumptions!$A$3)*((100-'Sorted by Region'!M183)/100)</f>
        <v>10.174507452372735</v>
      </c>
      <c r="P183" s="43"/>
    </row>
    <row r="184" spans="1:16" ht="12.95" customHeight="1" x14ac:dyDescent="0.2">
      <c r="A184" s="1" t="s">
        <v>70</v>
      </c>
      <c r="B184" s="1" t="s">
        <v>229</v>
      </c>
      <c r="C184" s="8" t="s">
        <v>230</v>
      </c>
      <c r="D184" s="10"/>
      <c r="E184" s="10"/>
      <c r="F184" s="18">
        <f>F208</f>
        <v>3.2790143084260731E-3</v>
      </c>
      <c r="G184" s="12">
        <v>267278</v>
      </c>
      <c r="H184" s="12">
        <v>780</v>
      </c>
      <c r="I184" s="13">
        <f t="shared" si="22"/>
        <v>268058</v>
      </c>
      <c r="J184" s="43">
        <f t="shared" si="23"/>
        <v>268214</v>
      </c>
      <c r="K184" s="41">
        <f>(F184)*J184*assumptions!$A$3</f>
        <v>571.66040341812402</v>
      </c>
      <c r="L184" s="66">
        <v>100</v>
      </c>
      <c r="M184" s="40">
        <v>100</v>
      </c>
      <c r="N184" s="43">
        <f>(F184)*J184*assumptions!$A$3*('Sorted by Region'!M184/100)</f>
        <v>571.66040341812402</v>
      </c>
      <c r="O184" s="43">
        <f>(F184)*J184*(assumptions!$A$3)*((100-'Sorted by Region'!M184)/100)</f>
        <v>0</v>
      </c>
      <c r="P184" s="43"/>
    </row>
    <row r="185" spans="1:16" ht="12.95" customHeight="1" x14ac:dyDescent="0.2">
      <c r="A185" s="1" t="s">
        <v>70</v>
      </c>
      <c r="B185" s="1" t="s">
        <v>124</v>
      </c>
      <c r="C185" s="8" t="s">
        <v>125</v>
      </c>
      <c r="D185" s="10"/>
      <c r="E185" s="10"/>
      <c r="F185" s="18">
        <f>F208</f>
        <v>3.2790143084260731E-3</v>
      </c>
      <c r="G185" s="19">
        <f>11124*0.01537</f>
        <v>170.97587999999999</v>
      </c>
      <c r="H185" s="12">
        <v>0</v>
      </c>
      <c r="I185" s="13">
        <f t="shared" si="22"/>
        <v>170.97587999999999</v>
      </c>
      <c r="J185" s="43">
        <f t="shared" si="23"/>
        <v>170.97587999999999</v>
      </c>
      <c r="K185" s="41">
        <f>(F185)*J185*assumptions!$A$3</f>
        <v>0.36441103199523051</v>
      </c>
      <c r="L185" s="66"/>
      <c r="M185" s="35">
        <v>91</v>
      </c>
      <c r="N185" s="43">
        <f>(F185)*J185*assumptions!$A$3*('Sorted by Region'!M185/100)</f>
        <v>0.33161403911565979</v>
      </c>
      <c r="O185" s="43">
        <f>(F185)*J185*(assumptions!$A$3)*((100-'Sorted by Region'!M185)/100)</f>
        <v>3.2796992879570747E-2</v>
      </c>
      <c r="P185" s="43"/>
    </row>
    <row r="186" spans="1:16" ht="12.95" customHeight="1" x14ac:dyDescent="0.2">
      <c r="A186" s="1" t="s">
        <v>70</v>
      </c>
      <c r="B186" s="1" t="s">
        <v>154</v>
      </c>
      <c r="C186" s="8" t="s">
        <v>155</v>
      </c>
      <c r="D186" s="10"/>
      <c r="E186" s="10"/>
      <c r="F186" s="18">
        <f>F208</f>
        <v>3.2790143084260731E-3</v>
      </c>
      <c r="G186" s="12">
        <v>2788</v>
      </c>
      <c r="H186" s="12">
        <v>40</v>
      </c>
      <c r="I186" s="13">
        <f t="shared" si="22"/>
        <v>2828</v>
      </c>
      <c r="J186" s="43">
        <f t="shared" si="23"/>
        <v>2836</v>
      </c>
      <c r="K186" s="41">
        <f>(F186)*J186*assumptions!$A$3</f>
        <v>6.0445349761526233</v>
      </c>
      <c r="L186" s="66"/>
      <c r="M186" s="35">
        <v>91</v>
      </c>
      <c r="N186" s="43">
        <f>(F186)*J186*assumptions!$A$3*('Sorted by Region'!M186/100)</f>
        <v>5.5005268282988871</v>
      </c>
      <c r="O186" s="43">
        <f>(F186)*J186*(assumptions!$A$3)*((100-'Sorted by Region'!M186)/100)</f>
        <v>0.54400814785373608</v>
      </c>
      <c r="P186" s="43"/>
    </row>
    <row r="187" spans="1:16" ht="12.95" customHeight="1" x14ac:dyDescent="0.2">
      <c r="A187" s="1" t="s">
        <v>70</v>
      </c>
      <c r="B187" s="1" t="s">
        <v>17</v>
      </c>
      <c r="C187" s="8" t="s">
        <v>18</v>
      </c>
      <c r="D187" s="10"/>
      <c r="E187" s="10"/>
      <c r="F187" s="18">
        <f>F208</f>
        <v>3.2790143084260731E-3</v>
      </c>
      <c r="G187" s="12">
        <v>1033890</v>
      </c>
      <c r="H187" s="12">
        <v>2750</v>
      </c>
      <c r="I187" s="13">
        <f t="shared" si="22"/>
        <v>1036640</v>
      </c>
      <c r="J187" s="43">
        <f t="shared" si="23"/>
        <v>1037190</v>
      </c>
      <c r="K187" s="41">
        <f>(F187)*J187*assumptions!$A$3</f>
        <v>2210.6245528616855</v>
      </c>
      <c r="L187" s="66"/>
      <c r="M187" s="35">
        <v>91</v>
      </c>
      <c r="N187" s="43">
        <f>(F187)*J187*assumptions!$A$3*('Sorted by Region'!M187/100)</f>
        <v>2011.6683431041338</v>
      </c>
      <c r="O187" s="43">
        <f>(F187)*J187*(assumptions!$A$3)*((100-'Sorted by Region'!M187)/100)</f>
        <v>198.95620975755168</v>
      </c>
      <c r="P187" s="43"/>
    </row>
    <row r="188" spans="1:16" ht="12.95" customHeight="1" x14ac:dyDescent="0.2">
      <c r="A188" s="1" t="s">
        <v>70</v>
      </c>
      <c r="B188" s="1" t="s">
        <v>35</v>
      </c>
      <c r="C188" s="8" t="s">
        <v>36</v>
      </c>
      <c r="D188" s="10"/>
      <c r="E188" s="10"/>
      <c r="F188" s="18">
        <f>F208</f>
        <v>3.2790143084260731E-3</v>
      </c>
      <c r="G188" s="12">
        <v>451665</v>
      </c>
      <c r="H188" s="12">
        <v>1600</v>
      </c>
      <c r="I188" s="13">
        <f t="shared" si="22"/>
        <v>453265</v>
      </c>
      <c r="J188" s="43">
        <f t="shared" si="23"/>
        <v>453585</v>
      </c>
      <c r="K188" s="41">
        <f>(F188)*J188*assumptions!$A$3</f>
        <v>966.75260830683624</v>
      </c>
      <c r="L188" s="66"/>
      <c r="M188" s="35">
        <v>91</v>
      </c>
      <c r="N188" s="43">
        <f>(F188)*J188*assumptions!$A$3*('Sorted by Region'!M188/100)</f>
        <v>879.74487355922099</v>
      </c>
      <c r="O188" s="43">
        <f>(F188)*J188*(assumptions!$A$3)*((100-'Sorted by Region'!M188)/100)</f>
        <v>87.00773474761526</v>
      </c>
      <c r="P188" s="43"/>
    </row>
    <row r="189" spans="1:16" ht="12.95" customHeight="1" x14ac:dyDescent="0.2">
      <c r="A189" s="1" t="s">
        <v>70</v>
      </c>
      <c r="B189" s="1" t="s">
        <v>150</v>
      </c>
      <c r="C189" s="8" t="s">
        <v>151</v>
      </c>
      <c r="D189" s="10"/>
      <c r="E189" s="10"/>
      <c r="F189" s="18">
        <f>F208</f>
        <v>3.2790143084260731E-3</v>
      </c>
      <c r="G189" s="19">
        <f>67182*0.02911</f>
        <v>1955.6680200000001</v>
      </c>
      <c r="H189" s="12">
        <v>20</v>
      </c>
      <c r="I189" s="13">
        <f t="shared" si="22"/>
        <v>1975.6680200000001</v>
      </c>
      <c r="J189" s="43">
        <f t="shared" si="23"/>
        <v>1979.6680200000001</v>
      </c>
      <c r="K189" s="41">
        <f>(F189)*J189*assumptions!$A$3</f>
        <v>4.219383846283784</v>
      </c>
      <c r="L189" s="66">
        <v>81</v>
      </c>
      <c r="M189" s="40">
        <v>81</v>
      </c>
      <c r="N189" s="43">
        <f>(F189)*J189*assumptions!$A$3*('Sorted by Region'!M189/100)</f>
        <v>3.4177009154898652</v>
      </c>
      <c r="O189" s="43">
        <f>(F189)*J189*(assumptions!$A$3)*((100-'Sorted by Region'!M189)/100)</f>
        <v>0.80168293079391895</v>
      </c>
      <c r="P189" s="43"/>
    </row>
    <row r="190" spans="1:16" ht="12.95" customHeight="1" x14ac:dyDescent="0.2">
      <c r="A190" s="1" t="s">
        <v>70</v>
      </c>
      <c r="B190" s="1" t="s">
        <v>158</v>
      </c>
      <c r="C190" s="8" t="s">
        <v>159</v>
      </c>
      <c r="D190" s="10"/>
      <c r="E190" s="10"/>
      <c r="F190" s="18">
        <f>F208</f>
        <v>3.2790143084260731E-3</v>
      </c>
      <c r="G190" s="19">
        <f>9322*0.02778</f>
        <v>258.96515999999997</v>
      </c>
      <c r="H190" s="12">
        <v>0</v>
      </c>
      <c r="I190" s="13">
        <f t="shared" si="22"/>
        <v>258.96515999999997</v>
      </c>
      <c r="J190" s="43">
        <f t="shared" si="23"/>
        <v>258.96515999999997</v>
      </c>
      <c r="K190" s="41">
        <f>(F190)*J190*assumptions!$A$3</f>
        <v>0.55194780226550078</v>
      </c>
      <c r="L190" s="66">
        <v>95</v>
      </c>
      <c r="M190" s="40">
        <v>95</v>
      </c>
      <c r="N190" s="43">
        <f>(F190)*J190*assumptions!$A$3*('Sorted by Region'!M190/100)</f>
        <v>0.52435041215222566</v>
      </c>
      <c r="O190" s="43">
        <f>(F190)*J190*(assumptions!$A$3)*((100-'Sorted by Region'!M190)/100)</f>
        <v>2.7597390113275042E-2</v>
      </c>
      <c r="P190" s="43"/>
    </row>
    <row r="191" spans="1:16" ht="12.95" customHeight="1" x14ac:dyDescent="0.2">
      <c r="A191" s="1" t="s">
        <v>70</v>
      </c>
      <c r="B191" s="1" t="s">
        <v>160</v>
      </c>
      <c r="C191" s="8" t="s">
        <v>161</v>
      </c>
      <c r="D191" s="10"/>
      <c r="E191" s="10"/>
      <c r="F191" s="18">
        <f>F208</f>
        <v>3.2790143084260731E-3</v>
      </c>
      <c r="G191" s="7">
        <v>40</v>
      </c>
      <c r="H191" s="12">
        <v>0</v>
      </c>
      <c r="I191" s="13">
        <f t="shared" si="22"/>
        <v>40</v>
      </c>
      <c r="J191" s="43">
        <f t="shared" si="23"/>
        <v>40</v>
      </c>
      <c r="K191" s="41">
        <f>(F191)*J191*assumptions!$A$3</f>
        <v>8.5254372019077901E-2</v>
      </c>
      <c r="L191" s="66"/>
      <c r="M191" s="35">
        <v>91</v>
      </c>
      <c r="N191" s="43">
        <f>(F191)*J191*assumptions!$A$3*('Sorted by Region'!M191/100)</f>
        <v>7.7581478537360887E-2</v>
      </c>
      <c r="O191" s="43">
        <f>(F191)*J191*(assumptions!$A$3)*((100-'Sorted by Region'!M191)/100)</f>
        <v>7.672893481717011E-3</v>
      </c>
      <c r="P191" s="43"/>
    </row>
    <row r="192" spans="1:16" ht="12.95" customHeight="1" x14ac:dyDescent="0.2">
      <c r="A192" s="1" t="s">
        <v>70</v>
      </c>
      <c r="B192" s="1" t="s">
        <v>27</v>
      </c>
      <c r="C192" s="8" t="s">
        <v>28</v>
      </c>
      <c r="D192" s="10"/>
      <c r="E192" s="10"/>
      <c r="F192" s="18">
        <f>F208</f>
        <v>3.2790143084260731E-3</v>
      </c>
      <c r="G192" s="12">
        <v>58261</v>
      </c>
      <c r="H192" s="12">
        <v>200</v>
      </c>
      <c r="I192" s="13">
        <f t="shared" si="22"/>
        <v>58461</v>
      </c>
      <c r="J192" s="43">
        <f t="shared" si="23"/>
        <v>58501</v>
      </c>
      <c r="K192" s="41">
        <f>(F192)*J192*assumptions!$A$3</f>
        <v>124.68665043720191</v>
      </c>
      <c r="L192" s="66">
        <v>95</v>
      </c>
      <c r="M192" s="40">
        <v>95</v>
      </c>
      <c r="N192" s="43">
        <f>(F192)*J192*assumptions!$A$3*('Sorted by Region'!M192/100)</f>
        <v>118.45231791534181</v>
      </c>
      <c r="O192" s="43">
        <f>(F192)*J192*(assumptions!$A$3)*((100-'Sorted by Region'!M192)/100)</f>
        <v>6.2343325218600958</v>
      </c>
      <c r="P192" s="43"/>
    </row>
    <row r="193" spans="1:32" ht="12.95" customHeight="1" x14ac:dyDescent="0.2">
      <c r="A193" s="1" t="s">
        <v>70</v>
      </c>
      <c r="B193" s="1" t="s">
        <v>162</v>
      </c>
      <c r="C193" s="8" t="s">
        <v>163</v>
      </c>
      <c r="D193" s="10"/>
      <c r="E193" s="10"/>
      <c r="F193" s="18">
        <f>F208</f>
        <v>3.2790143084260731E-3</v>
      </c>
      <c r="G193" s="19">
        <f>20956*0.01074</f>
        <v>225.06743999999998</v>
      </c>
      <c r="H193" s="12">
        <v>10</v>
      </c>
      <c r="I193" s="13">
        <f t="shared" si="22"/>
        <v>235.06743999999998</v>
      </c>
      <c r="J193" s="43">
        <f t="shared" si="23"/>
        <v>237.06743999999998</v>
      </c>
      <c r="K193" s="41">
        <f>(F193)*J193*assumptions!$A$3</f>
        <v>0.50527589308426069</v>
      </c>
      <c r="L193" s="66"/>
      <c r="M193" s="35">
        <v>91</v>
      </c>
      <c r="N193" s="43">
        <f>(F193)*J193*assumptions!$A$3*('Sorted by Region'!M193/100)</f>
        <v>0.45980106270667725</v>
      </c>
      <c r="O193" s="43">
        <f>(F193)*J193*(assumptions!$A$3)*((100-'Sorted by Region'!M193)/100)</f>
        <v>4.5474830377583458E-2</v>
      </c>
      <c r="P193" s="43"/>
    </row>
    <row r="194" spans="1:32" ht="12.95" customHeight="1" x14ac:dyDescent="0.2">
      <c r="A194" s="1" t="s">
        <v>70</v>
      </c>
      <c r="B194" s="1" t="s">
        <v>344</v>
      </c>
      <c r="C194" s="8" t="s">
        <v>345</v>
      </c>
      <c r="D194" s="10"/>
      <c r="E194" s="10"/>
      <c r="F194" s="18">
        <f>F208</f>
        <v>3.2790143084260731E-3</v>
      </c>
      <c r="G194" s="12">
        <v>15560</v>
      </c>
      <c r="H194" s="12">
        <v>250</v>
      </c>
      <c r="I194" s="13">
        <f t="shared" si="22"/>
        <v>15810</v>
      </c>
      <c r="J194" s="43">
        <f t="shared" si="23"/>
        <v>15860</v>
      </c>
      <c r="K194" s="41">
        <f>(F194)*J194*assumptions!$A$3</f>
        <v>33.80335850556439</v>
      </c>
      <c r="L194" s="66">
        <v>74</v>
      </c>
      <c r="M194" s="40">
        <v>74</v>
      </c>
      <c r="N194" s="43">
        <f>(F194)*J194*assumptions!$A$3*('Sorted by Region'!M194/100)</f>
        <v>25.014485294117648</v>
      </c>
      <c r="O194" s="43">
        <f>(F194)*J194*(assumptions!$A$3)*((100-'Sorted by Region'!M194)/100)</f>
        <v>8.7888732114467416</v>
      </c>
      <c r="P194" s="43"/>
    </row>
    <row r="195" spans="1:32" ht="12.95" customHeight="1" x14ac:dyDescent="0.2">
      <c r="A195" s="1" t="s">
        <v>70</v>
      </c>
      <c r="B195" s="1" t="s">
        <v>340</v>
      </c>
      <c r="C195" s="8" t="s">
        <v>341</v>
      </c>
      <c r="D195" s="10"/>
      <c r="E195" s="10"/>
      <c r="F195" s="18">
        <f>F208</f>
        <v>3.2790143084260731E-3</v>
      </c>
      <c r="G195" s="12">
        <v>37185</v>
      </c>
      <c r="H195" s="12">
        <v>80</v>
      </c>
      <c r="I195" s="13">
        <f t="shared" si="22"/>
        <v>37265</v>
      </c>
      <c r="J195" s="43">
        <f t="shared" si="23"/>
        <v>37281</v>
      </c>
      <c r="K195" s="41">
        <f>(F195)*J195*assumptions!$A$3</f>
        <v>79.459206081081092</v>
      </c>
      <c r="L195" s="66"/>
      <c r="M195" s="35">
        <v>91</v>
      </c>
      <c r="N195" s="43">
        <f>(F195)*J195*assumptions!$A$3*('Sorted by Region'!M195/100)</f>
        <v>72.307877533783795</v>
      </c>
      <c r="O195" s="43">
        <f>(F195)*J195*(assumptions!$A$3)*((100-'Sorted by Region'!M195)/100)</f>
        <v>7.1513285472972976</v>
      </c>
      <c r="P195" s="43"/>
    </row>
    <row r="196" spans="1:32" ht="12.95" customHeight="1" x14ac:dyDescent="0.2">
      <c r="A196" s="1" t="s">
        <v>70</v>
      </c>
      <c r="B196" s="1" t="s">
        <v>184</v>
      </c>
      <c r="C196" s="8" t="s">
        <v>185</v>
      </c>
      <c r="D196" s="10"/>
      <c r="E196" s="10"/>
      <c r="F196" s="18">
        <f>F208</f>
        <v>3.2790143084260731E-3</v>
      </c>
      <c r="G196" s="12">
        <v>2861</v>
      </c>
      <c r="H196" s="12">
        <v>30</v>
      </c>
      <c r="I196" s="13">
        <f t="shared" si="22"/>
        <v>2891</v>
      </c>
      <c r="J196" s="43">
        <f t="shared" si="23"/>
        <v>2897</v>
      </c>
      <c r="K196" s="41">
        <f>(F196)*J196*assumptions!$A$3</f>
        <v>6.1745478934817166</v>
      </c>
      <c r="L196" s="66"/>
      <c r="M196" s="35">
        <v>91</v>
      </c>
      <c r="N196" s="43">
        <f>(F196)*J196*assumptions!$A$3*('Sorted by Region'!M196/100)</f>
        <v>5.6188385830683627</v>
      </c>
      <c r="O196" s="43">
        <f>(F196)*J196*(assumptions!$A$3)*((100-'Sorted by Region'!M196)/100)</f>
        <v>0.55570931041335447</v>
      </c>
      <c r="P196" s="43"/>
    </row>
    <row r="197" spans="1:32" ht="12.95" customHeight="1" x14ac:dyDescent="0.2">
      <c r="A197" s="1" t="s">
        <v>70</v>
      </c>
      <c r="B197" s="1" t="s">
        <v>190</v>
      </c>
      <c r="C197" s="8" t="s">
        <v>191</v>
      </c>
      <c r="D197" s="10"/>
      <c r="E197" s="10"/>
      <c r="F197" s="18">
        <f>F208</f>
        <v>3.2790143084260731E-3</v>
      </c>
      <c r="G197" s="19">
        <f>10544*0.02324</f>
        <v>245.04256000000001</v>
      </c>
      <c r="H197" s="12">
        <v>0</v>
      </c>
      <c r="I197" s="13">
        <f t="shared" si="22"/>
        <v>245.04256000000001</v>
      </c>
      <c r="J197" s="43">
        <f t="shared" si="23"/>
        <v>245.04256000000001</v>
      </c>
      <c r="K197" s="41">
        <f>(F197)*J197*assumptions!$A$3</f>
        <v>0.52227373926868048</v>
      </c>
      <c r="L197" s="66">
        <v>97</v>
      </c>
      <c r="M197" s="40">
        <v>97</v>
      </c>
      <c r="N197" s="43">
        <f>(F197)*J197*assumptions!$A$3*('Sorted by Region'!M197/100)</f>
        <v>0.50660552709062001</v>
      </c>
      <c r="O197" s="43">
        <f>(F197)*J197*(assumptions!$A$3)*((100-'Sorted by Region'!M197)/100)</f>
        <v>1.5668212178060414E-2</v>
      </c>
      <c r="P197" s="43"/>
    </row>
    <row r="198" spans="1:32" ht="12.95" customHeight="1" x14ac:dyDescent="0.2">
      <c r="A198" s="1" t="s">
        <v>70</v>
      </c>
      <c r="B198" s="1" t="s">
        <v>346</v>
      </c>
      <c r="C198" s="8" t="s">
        <v>347</v>
      </c>
      <c r="D198" s="3"/>
      <c r="E198" s="10"/>
      <c r="F198" s="18">
        <f>F208</f>
        <v>3.2790143084260731E-3</v>
      </c>
      <c r="G198" s="12">
        <v>7066</v>
      </c>
      <c r="H198" s="12">
        <v>80</v>
      </c>
      <c r="I198" s="13">
        <f t="shared" si="22"/>
        <v>7146</v>
      </c>
      <c r="J198" s="43">
        <f t="shared" si="23"/>
        <v>7162</v>
      </c>
      <c r="K198" s="41">
        <f>(F198)*J198*assumptions!$A$3</f>
        <v>15.264795310015899</v>
      </c>
      <c r="L198" s="66">
        <v>84</v>
      </c>
      <c r="M198" s="40">
        <v>84</v>
      </c>
      <c r="N198" s="43">
        <f>(F198)*J198*assumptions!$A$3*('Sorted by Region'!M198/100)</f>
        <v>12.822428060413355</v>
      </c>
      <c r="O198" s="43">
        <f>(F198)*J198*(assumptions!$A$3)*((100-'Sorted by Region'!M198)/100)</f>
        <v>2.4423672496025439</v>
      </c>
      <c r="P198" s="43"/>
    </row>
    <row r="199" spans="1:32" ht="12.75" customHeight="1" x14ac:dyDescent="0.2">
      <c r="A199" s="1" t="s">
        <v>70</v>
      </c>
      <c r="B199" s="1" t="s">
        <v>172</v>
      </c>
      <c r="C199" s="8" t="s">
        <v>173</v>
      </c>
      <c r="D199" s="3"/>
      <c r="E199" s="10"/>
      <c r="F199" s="18">
        <f>F208</f>
        <v>3.2790143084260731E-3</v>
      </c>
      <c r="G199" s="12">
        <v>4212</v>
      </c>
      <c r="H199" s="12">
        <v>40</v>
      </c>
      <c r="I199" s="13">
        <f t="shared" si="22"/>
        <v>4252</v>
      </c>
      <c r="J199" s="43">
        <f t="shared" si="23"/>
        <v>4260</v>
      </c>
      <c r="K199" s="41">
        <f>(F199)*J199*assumptions!$A$3</f>
        <v>9.0795906200317962</v>
      </c>
      <c r="L199" s="66"/>
      <c r="M199" s="35">
        <v>91</v>
      </c>
      <c r="N199" s="43">
        <f>(F199)*J199*assumptions!$A$3*('Sorted by Region'!M199/100)</f>
        <v>8.262427464228935</v>
      </c>
      <c r="O199" s="43">
        <f>(F199)*J199*(assumptions!$A$3)*((100-'Sorted by Region'!M199)/100)</f>
        <v>0.81716315580286158</v>
      </c>
      <c r="P199" s="43"/>
    </row>
    <row r="200" spans="1:32" s="5" customFormat="1" ht="12.95" customHeight="1" x14ac:dyDescent="0.2">
      <c r="B200" s="2"/>
      <c r="C200" s="74"/>
      <c r="D200" s="14"/>
      <c r="F200" s="22"/>
      <c r="H200" s="15"/>
      <c r="J200" s="44"/>
      <c r="K200" s="32">
        <f>SUM(K173:K199)</f>
        <v>53824.677328291509</v>
      </c>
      <c r="L200" s="67"/>
      <c r="N200" s="49">
        <f>SUM(N173:N199)</f>
        <v>48569.59043382352</v>
      </c>
      <c r="O200" s="49">
        <f>SUM(O173:O199)</f>
        <v>5255.0868944679933</v>
      </c>
      <c r="P200" s="49"/>
      <c r="T200" s="46"/>
      <c r="U200" s="46"/>
      <c r="V200"/>
      <c r="W200"/>
      <c r="X200"/>
      <c r="AA200" s="13"/>
      <c r="AB200" s="13"/>
      <c r="AC200" s="13"/>
      <c r="AD200" s="13"/>
      <c r="AE200" s="59"/>
      <c r="AF200"/>
    </row>
    <row r="201" spans="1:32" s="5" customFormat="1" ht="12.95" customHeight="1" x14ac:dyDescent="0.2">
      <c r="A201" s="1" t="s">
        <v>437</v>
      </c>
      <c r="B201" s="2"/>
      <c r="C201" s="75"/>
      <c r="D201" s="14"/>
      <c r="F201" s="14"/>
      <c r="G201" s="15">
        <f>SUM(G2:G199)</f>
        <v>133307144.85261001</v>
      </c>
      <c r="H201" s="15">
        <f>SUM(H2:H199)</f>
        <v>2646720</v>
      </c>
      <c r="I201" s="15">
        <f>SUM(I2:I199)</f>
        <v>135953864.85261005</v>
      </c>
      <c r="J201" s="44">
        <f>SUM(J2:J199)</f>
        <v>136483208.85261005</v>
      </c>
      <c r="K201" s="39">
        <f>SUM(K200,K172,K160,K106,K84,K48)</f>
        <v>1360485.3330134572</v>
      </c>
      <c r="M201" s="37">
        <f>AVERAGE(M2:M199)</f>
        <v>88.418977316941849</v>
      </c>
      <c r="N201" s="50">
        <f>SUM(N200,N172,N160,N106,N84,N48)</f>
        <v>1085636.8441769052</v>
      </c>
      <c r="O201" s="50">
        <f>SUM(O200,O172,O160,O106,O84,O48)</f>
        <v>274848.48883655237</v>
      </c>
      <c r="P201" s="50"/>
      <c r="T201" s="46"/>
      <c r="U201" s="46"/>
      <c r="V201"/>
      <c r="W201"/>
      <c r="AA201" s="13"/>
      <c r="AB201" s="13"/>
      <c r="AC201" s="13"/>
      <c r="AD201" s="13"/>
      <c r="AE201" s="59"/>
      <c r="AF201"/>
    </row>
    <row r="202" spans="1:32" s="5" customFormat="1" ht="11.25" customHeight="1" x14ac:dyDescent="0.2">
      <c r="A202" s="1"/>
      <c r="B202" s="2"/>
      <c r="C202" s="75"/>
      <c r="D202" s="14"/>
      <c r="F202" s="14"/>
      <c r="G202" s="16"/>
      <c r="H202" s="16"/>
      <c r="J202" s="45"/>
      <c r="K202" s="34"/>
      <c r="L202" s="26">
        <f>COUNT(L2:L199)</f>
        <v>147</v>
      </c>
      <c r="M202" s="34"/>
      <c r="N202" s="57">
        <f>N201/K201</f>
        <v>0.79797761712890636</v>
      </c>
      <c r="O202" s="45"/>
      <c r="P202" s="45"/>
      <c r="T202" s="46"/>
      <c r="U202" s="46"/>
      <c r="V202"/>
      <c r="W202"/>
      <c r="AA202" s="13"/>
      <c r="AB202" s="13"/>
      <c r="AC202" s="13"/>
      <c r="AD202" s="13"/>
      <c r="AE202" s="59"/>
      <c r="AF202"/>
    </row>
    <row r="203" spans="1:32" ht="12.95" customHeight="1" x14ac:dyDescent="0.2">
      <c r="A203" s="5" t="s">
        <v>195</v>
      </c>
      <c r="F203" s="21">
        <f>MEDIAN(F2:F39)</f>
        <v>2.1265045584921122E-2</v>
      </c>
      <c r="H203" s="64"/>
      <c r="K203" s="36"/>
      <c r="L203" s="23">
        <f>MEDIAN(L4:L47)</f>
        <v>86</v>
      </c>
      <c r="M203" s="36"/>
      <c r="X203" s="5"/>
    </row>
    <row r="204" spans="1:32" ht="12.95" customHeight="1" x14ac:dyDescent="0.2">
      <c r="A204" s="5" t="s">
        <v>196</v>
      </c>
      <c r="F204" s="21">
        <f>MEDIAN(F49:F69)</f>
        <v>8.4294776278257908E-3</v>
      </c>
      <c r="H204" s="65"/>
      <c r="I204" s="25"/>
      <c r="J204" s="47"/>
      <c r="L204" s="23">
        <f>MEDIAN(L49:L83)</f>
        <v>94</v>
      </c>
    </row>
    <row r="205" spans="1:32" ht="12.95" customHeight="1" x14ac:dyDescent="0.2">
      <c r="A205" s="5" t="s">
        <v>197</v>
      </c>
      <c r="F205" s="21">
        <f>MEDIAN(F85:F91)</f>
        <v>5.6726860168289687E-4</v>
      </c>
      <c r="H205" s="65"/>
      <c r="I205" s="25"/>
      <c r="J205" s="47"/>
      <c r="L205" s="23">
        <f>MEDIAN(L85:L105)</f>
        <v>87</v>
      </c>
    </row>
    <row r="206" spans="1:32" ht="12.95" customHeight="1" x14ac:dyDescent="0.2">
      <c r="A206" s="5" t="s">
        <v>198</v>
      </c>
      <c r="F206" s="21">
        <f>MEDIAN(F107:F119)</f>
        <v>1.5556029786708298E-3</v>
      </c>
      <c r="H206" s="64"/>
      <c r="I206" s="6"/>
      <c r="J206" s="48"/>
      <c r="L206" s="23">
        <f>MEDIAN(L107:L159)</f>
        <v>98</v>
      </c>
    </row>
    <row r="207" spans="1:32" ht="12.95" customHeight="1" x14ac:dyDescent="0.2">
      <c r="A207" s="5" t="s">
        <v>199</v>
      </c>
      <c r="F207" s="21">
        <f>MEDIAN(F161:F167)</f>
        <v>6.2274982971684345E-3</v>
      </c>
      <c r="H207" s="77"/>
      <c r="I207" s="78"/>
      <c r="J207" s="78"/>
      <c r="L207" s="23">
        <f>MEDIAN(L161:L171)</f>
        <v>78.5</v>
      </c>
    </row>
    <row r="208" spans="1:32" ht="12.95" customHeight="1" x14ac:dyDescent="0.2">
      <c r="A208" s="5" t="s">
        <v>200</v>
      </c>
      <c r="F208" s="21">
        <f>MEDIAN(F173:F183)</f>
        <v>3.2790143084260731E-3</v>
      </c>
      <c r="L208" s="23">
        <f>MEDIAN(L173:L199)</f>
        <v>91</v>
      </c>
    </row>
  </sheetData>
  <mergeCells count="2">
    <mergeCell ref="T1:U1"/>
    <mergeCell ref="H207:J207"/>
  </mergeCells>
  <phoneticPr fontId="4" type="noConversion"/>
  <conditionalFormatting sqref="G36 G49 G61 G196 G70 G107 G139 G154 G175 G184 G187:G188 G192 G181">
    <cfRule type="expression" dxfId="1" priority="19" stopIfTrue="1">
      <formula>G36&lt;&gt;O36</formula>
    </cfRule>
  </conditionalFormatting>
  <conditionalFormatting sqref="G176:G180 H2:H199 G2:G35 G50:G60 G155:G174 G37:G48 G62:G69 G108:G138 G140:G153 G71:G106 G182:G183 G185:G186 G189:G191 G193:G195 G197:G199 D2:F199">
    <cfRule type="expression" dxfId="0" priority="18" stopIfTrue="1">
      <formula>VALUE(D2)&lt;&gt;D2</formula>
    </cfRule>
  </conditionalFormatting>
  <pageMargins left="0.75" right="0.75" top="1" bottom="1" header="0.5" footer="0.5"/>
  <pageSetup paperSize="9" scale="21" orientation="portrait" horizontalDpi="300" verticalDpi="300" r:id="rId1"/>
  <headerFooter alignWithMargins="0"/>
  <ignoredErrors>
    <ignoredError sqref="K172 K160 K106 K84 K48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1"/>
  <sheetViews>
    <sheetView tabSelected="1" workbookViewId="0">
      <selection activeCell="A2" sqref="A2"/>
    </sheetView>
  </sheetViews>
  <sheetFormatPr defaultRowHeight="12.75" x14ac:dyDescent="0.2"/>
  <cols>
    <col min="5" max="5" width="13.28515625" customWidth="1"/>
    <col min="6" max="6" width="11.85546875" customWidth="1"/>
  </cols>
  <sheetData>
    <row r="2" spans="1:9" x14ac:dyDescent="0.2">
      <c r="A2" s="26" t="s">
        <v>201</v>
      </c>
    </row>
    <row r="3" spans="1:9" x14ac:dyDescent="0.2">
      <c r="A3" s="27">
        <v>0.65</v>
      </c>
    </row>
    <row r="5" spans="1:9" ht="114.75" x14ac:dyDescent="0.2">
      <c r="E5" s="6" t="s">
        <v>202</v>
      </c>
      <c r="F5" s="6" t="s">
        <v>206</v>
      </c>
    </row>
    <row r="6" spans="1:9" ht="15" x14ac:dyDescent="0.25">
      <c r="A6" t="s">
        <v>203</v>
      </c>
      <c r="E6" s="54">
        <v>0.52</v>
      </c>
      <c r="F6" s="56">
        <f>H7*F7+H8*F8+H9*F9+H10*F10</f>
        <v>0.84192307692307689</v>
      </c>
      <c r="G6" s="53" t="s">
        <v>432</v>
      </c>
    </row>
    <row r="7" spans="1:9" x14ac:dyDescent="0.2">
      <c r="A7" t="s">
        <v>364</v>
      </c>
      <c r="E7" s="54">
        <v>0.21</v>
      </c>
      <c r="F7" s="27">
        <v>0.82</v>
      </c>
      <c r="H7" s="56">
        <f>E7/E6</f>
        <v>0.4038461538461538</v>
      </c>
    </row>
    <row r="8" spans="1:9" x14ac:dyDescent="0.2">
      <c r="A8" t="s">
        <v>204</v>
      </c>
      <c r="E8" s="54">
        <v>0.09</v>
      </c>
      <c r="F8" s="27">
        <v>0.8</v>
      </c>
      <c r="H8" s="56">
        <f>E8/E6</f>
        <v>0.17307692307692307</v>
      </c>
    </row>
    <row r="9" spans="1:9" x14ac:dyDescent="0.2">
      <c r="A9" t="s">
        <v>0</v>
      </c>
      <c r="E9" s="54">
        <v>0.06</v>
      </c>
      <c r="F9" s="27">
        <v>0.64</v>
      </c>
      <c r="H9" s="56">
        <f>E9/E6</f>
        <v>0.11538461538461538</v>
      </c>
    </row>
    <row r="10" spans="1:9" x14ac:dyDescent="0.2">
      <c r="A10" t="s">
        <v>205</v>
      </c>
      <c r="E10" s="54">
        <v>0.16</v>
      </c>
      <c r="F10" s="27">
        <v>0.97</v>
      </c>
      <c r="H10" s="56">
        <f>E10/E6</f>
        <v>0.30769230769230771</v>
      </c>
    </row>
    <row r="11" spans="1:9" x14ac:dyDescent="0.2">
      <c r="E11" s="63"/>
      <c r="H11" s="58">
        <f>SUM(H7:H10)</f>
        <v>1</v>
      </c>
      <c r="I11" s="26"/>
    </row>
    <row r="13" spans="1:9" x14ac:dyDescent="0.2">
      <c r="A13" s="26" t="s">
        <v>211</v>
      </c>
    </row>
    <row r="14" spans="1:9" x14ac:dyDescent="0.2">
      <c r="B14" s="26" t="s">
        <v>208</v>
      </c>
      <c r="C14" s="26" t="s">
        <v>209</v>
      </c>
      <c r="D14" s="26" t="s">
        <v>210</v>
      </c>
      <c r="E14" s="58" t="s">
        <v>433</v>
      </c>
    </row>
    <row r="15" spans="1:9" x14ac:dyDescent="0.2">
      <c r="A15" s="26" t="s">
        <v>195</v>
      </c>
      <c r="B15" s="27">
        <v>0.1</v>
      </c>
      <c r="C15" s="27">
        <v>0.3</v>
      </c>
      <c r="D15" s="27">
        <v>0.5</v>
      </c>
      <c r="E15" s="56">
        <v>0.81</v>
      </c>
    </row>
    <row r="16" spans="1:9" x14ac:dyDescent="0.2">
      <c r="A16" s="26" t="s">
        <v>197</v>
      </c>
      <c r="B16" s="27">
        <v>0.1</v>
      </c>
      <c r="C16" s="27">
        <v>0.3</v>
      </c>
      <c r="D16" s="27">
        <v>0.5</v>
      </c>
      <c r="E16" s="56">
        <v>0.81</v>
      </c>
    </row>
    <row r="17" spans="1:6" x14ac:dyDescent="0.2">
      <c r="A17" s="26" t="s">
        <v>198</v>
      </c>
      <c r="B17" s="27">
        <v>0.5</v>
      </c>
      <c r="C17" s="27">
        <v>0.7</v>
      </c>
      <c r="D17" s="27">
        <v>0.9</v>
      </c>
      <c r="E17" s="56">
        <v>0.9</v>
      </c>
      <c r="F17" t="s">
        <v>438</v>
      </c>
    </row>
    <row r="18" spans="1:6" x14ac:dyDescent="0.2">
      <c r="A18" s="26" t="s">
        <v>207</v>
      </c>
      <c r="B18" s="27">
        <v>0.4</v>
      </c>
      <c r="C18" s="27">
        <v>0.6</v>
      </c>
      <c r="D18" s="27">
        <v>0.8</v>
      </c>
      <c r="E18" s="56">
        <v>0.81</v>
      </c>
    </row>
    <row r="19" spans="1:6" x14ac:dyDescent="0.2">
      <c r="A19" s="26" t="s">
        <v>199</v>
      </c>
      <c r="B19" s="27">
        <v>0.2</v>
      </c>
      <c r="C19" s="27">
        <v>0.4</v>
      </c>
      <c r="D19" s="27">
        <v>0.6</v>
      </c>
      <c r="E19" s="56">
        <v>0.81</v>
      </c>
    </row>
    <row r="20" spans="1:6" x14ac:dyDescent="0.2">
      <c r="A20" s="26" t="s">
        <v>200</v>
      </c>
      <c r="B20" s="27">
        <v>0.4</v>
      </c>
      <c r="C20" s="27">
        <v>0.6</v>
      </c>
      <c r="D20" s="27">
        <v>0.8</v>
      </c>
      <c r="E20" s="56">
        <v>0.81</v>
      </c>
    </row>
    <row r="21" spans="1:6" x14ac:dyDescent="0.2">
      <c r="B21" t="s">
        <v>439</v>
      </c>
      <c r="C21">
        <f>MEDIAN(C15:C20)</f>
        <v>0.5</v>
      </c>
    </row>
  </sheetData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Sorted by Region</vt:lpstr>
      <vt:lpstr>assumptions</vt:lpstr>
    </vt:vector>
  </TitlesOfParts>
  <Company>World Health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Kirkwood</dc:creator>
  <cp:lastModifiedBy>Vicky Knox</cp:lastModifiedBy>
  <cp:lastPrinted>2012-04-13T15:16:27Z</cp:lastPrinted>
  <dcterms:created xsi:type="dcterms:W3CDTF">2009-06-24T15:18:28Z</dcterms:created>
  <dcterms:modified xsi:type="dcterms:W3CDTF">2013-02-22T20:45:26Z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