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5296" windowWidth="13200" windowHeight="8010" firstSheet="1" activeTab="1"/>
  </bookViews>
  <sheets>
    <sheet name="Figure 1" sheetId="1" state="hidden" r:id="rId1"/>
    <sheet name="Table_Supl 2" sheetId="2" r:id="rId2"/>
  </sheets>
  <definedNames/>
  <calcPr fullCalcOnLoad="1"/>
</workbook>
</file>

<file path=xl/sharedStrings.xml><?xml version="1.0" encoding="utf-8"?>
<sst xmlns="http://schemas.openxmlformats.org/spreadsheetml/2006/main" count="117" uniqueCount="86">
  <si>
    <t>P-value</t>
  </si>
  <si>
    <t>%</t>
  </si>
  <si>
    <t>Sex</t>
  </si>
  <si>
    <t>Male</t>
  </si>
  <si>
    <t>Female</t>
  </si>
  <si>
    <t>Age Group</t>
  </si>
  <si>
    <t>&lt;25</t>
  </si>
  <si>
    <t>25-35</t>
  </si>
  <si>
    <t>T2</t>
  </si>
  <si>
    <t>T3/T4</t>
  </si>
  <si>
    <t>Metastasis</t>
  </si>
  <si>
    <t>I</t>
  </si>
  <si>
    <t>II</t>
  </si>
  <si>
    <t>High</t>
  </si>
  <si>
    <t>Medium</t>
  </si>
  <si>
    <t>Low</t>
  </si>
  <si>
    <t>High Blood Pressure</t>
  </si>
  <si>
    <t>Yes</t>
  </si>
  <si>
    <t>No</t>
  </si>
  <si>
    <t>Total</t>
  </si>
  <si>
    <t>Methylated</t>
  </si>
  <si>
    <t>Figure 1. Comparison of mutation and promoter methylation  prevalence among all cases, RCC, and histologically confirmed ccRCC</t>
  </si>
  <si>
    <t xml:space="preserve">% </t>
  </si>
  <si>
    <t>Stage</t>
  </si>
  <si>
    <t>p-value</t>
  </si>
  <si>
    <t>Nuclear Grade</t>
  </si>
  <si>
    <t>III/IV</t>
  </si>
  <si>
    <t>Node</t>
  </si>
  <si>
    <t>N0</t>
  </si>
  <si>
    <t>N1</t>
  </si>
  <si>
    <t>Patient Characteristics</t>
  </si>
  <si>
    <t>&lt;50 years</t>
  </si>
  <si>
    <t>&gt;50 years</t>
  </si>
  <si>
    <t>35+</t>
  </si>
  <si>
    <t>Tobacco Smoking</t>
  </si>
  <si>
    <t>Never</t>
  </si>
  <si>
    <t>Former</t>
  </si>
  <si>
    <t>Current</t>
  </si>
  <si>
    <t>Yes-other</t>
  </si>
  <si>
    <t xml:space="preserve">  </t>
  </si>
  <si>
    <t>Organic Solvents</t>
  </si>
  <si>
    <t>Chlorinated Solvents</t>
  </si>
  <si>
    <t xml:space="preserve"> Vegetable Intake</t>
  </si>
  <si>
    <t>Unexposed</t>
  </si>
  <si>
    <t>Exposed</t>
  </si>
  <si>
    <t>All Alterations</t>
  </si>
  <si>
    <t>Functional Alterations</t>
  </si>
  <si>
    <t>N2/N3</t>
  </si>
  <si>
    <t>p-trend</t>
  </si>
  <si>
    <t>Confirmed Renal Cell Carcinoma</t>
  </si>
  <si>
    <t xml:space="preserve">Original Diagnosis </t>
  </si>
  <si>
    <t>Confirmed Clear Cell Renal Carcinoma</t>
  </si>
  <si>
    <t>Case Characteristics</t>
  </si>
  <si>
    <t xml:space="preserve">Pathology </t>
  </si>
  <si>
    <t>Occupational Exposures</t>
  </si>
  <si>
    <r>
      <rPr>
        <vertAlign val="super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>Subgroups that do not add to 470 are due to missing clinical or risk factor information</t>
    </r>
  </si>
  <si>
    <r>
      <t>All ccRCC Cases</t>
    </r>
    <r>
      <rPr>
        <b/>
        <vertAlign val="superscript"/>
        <sz val="11"/>
        <color indexed="8"/>
        <rFont val="Calibri"/>
        <family val="2"/>
      </rPr>
      <t>1</t>
    </r>
  </si>
  <si>
    <t>T1</t>
  </si>
  <si>
    <t>Body Mass Index</t>
  </si>
  <si>
    <t>Frequency Tertile</t>
  </si>
  <si>
    <t>Fruit Intake</t>
  </si>
  <si>
    <t>None (M0)</t>
  </si>
  <si>
    <t>Yes (M1)</t>
  </si>
  <si>
    <t>Unknown</t>
  </si>
  <si>
    <r>
      <t>Cases w/Alteration</t>
    </r>
    <r>
      <rPr>
        <b/>
        <vertAlign val="superscript"/>
        <sz val="11"/>
        <color indexed="8"/>
        <rFont val="Calibri"/>
        <family val="2"/>
      </rPr>
      <t>2</t>
    </r>
  </si>
  <si>
    <r>
      <rPr>
        <vertAlign val="super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>G</t>
    </r>
    <r>
      <rPr>
        <sz val="11"/>
        <color theme="1"/>
        <rFont val="Calibri"/>
        <family val="2"/>
      </rPr>
      <t>enetic inactivating alterations include deletions, insertions, missense, nonsense, splicing, and 3'UTR.</t>
    </r>
  </si>
  <si>
    <r>
      <t>&gt;1 Alteration</t>
    </r>
    <r>
      <rPr>
        <b/>
        <vertAlign val="superscript"/>
        <sz val="11"/>
        <color indexed="8"/>
        <rFont val="Calibri"/>
        <family val="2"/>
      </rPr>
      <t>2</t>
    </r>
  </si>
  <si>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>p-value for comparison of M0 vs M1 only</t>
    </r>
  </si>
  <si>
    <r>
      <t>p-value</t>
    </r>
    <r>
      <rPr>
        <b/>
        <i/>
        <vertAlign val="superscript"/>
        <sz val="11"/>
        <color indexed="8"/>
        <rFont val="Calibri"/>
        <family val="2"/>
      </rPr>
      <t>3</t>
    </r>
  </si>
  <si>
    <r>
      <rPr>
        <vertAlign val="superscript"/>
        <sz val="11"/>
        <color indexed="8"/>
        <rFont val="Calibri"/>
        <family val="2"/>
      </rPr>
      <t>4</t>
    </r>
    <r>
      <rPr>
        <sz val="11"/>
        <color theme="1"/>
        <rFont val="Calibri"/>
        <family val="2"/>
      </rPr>
      <t>Calculation based on total number of genetic alterations per exon</t>
    </r>
  </si>
  <si>
    <r>
      <t>Exon 1</t>
    </r>
    <r>
      <rPr>
        <b/>
        <vertAlign val="superscript"/>
        <sz val="11"/>
        <color indexed="8"/>
        <rFont val="Calibri"/>
        <family val="2"/>
      </rPr>
      <t>4</t>
    </r>
  </si>
  <si>
    <r>
      <t>Exon 2</t>
    </r>
    <r>
      <rPr>
        <b/>
        <vertAlign val="superscript"/>
        <sz val="11"/>
        <color indexed="8"/>
        <rFont val="Calibri"/>
        <family val="2"/>
      </rPr>
      <t>4</t>
    </r>
  </si>
  <si>
    <r>
      <t>Exon 3</t>
    </r>
    <r>
      <rPr>
        <b/>
        <vertAlign val="superscript"/>
        <sz val="11"/>
        <color indexed="8"/>
        <rFont val="Calibri"/>
        <family val="2"/>
      </rPr>
      <t>4</t>
    </r>
  </si>
  <si>
    <r>
      <rPr>
        <vertAlign val="superscript"/>
        <sz val="11"/>
        <color indexed="8"/>
        <rFont val="Calibri"/>
        <family val="2"/>
      </rPr>
      <t>5</t>
    </r>
    <r>
      <rPr>
        <sz val="11"/>
        <color theme="1"/>
        <rFont val="Calibri"/>
        <family val="2"/>
      </rPr>
      <t>Both groups are compared to cases without a family history of cancer</t>
    </r>
  </si>
  <si>
    <r>
      <rPr>
        <vertAlign val="superscript"/>
        <sz val="11"/>
        <color indexed="8"/>
        <rFont val="Calibri"/>
        <family val="2"/>
      </rPr>
      <t>6</t>
    </r>
    <r>
      <rPr>
        <sz val="11"/>
        <color theme="1"/>
        <rFont val="Calibri"/>
        <family val="2"/>
      </rPr>
      <t>Self-report having a first degree relative with cancer or kidney cancer</t>
    </r>
  </si>
  <si>
    <r>
      <rPr>
        <vertAlign val="superscript"/>
        <sz val="11"/>
        <color indexed="8"/>
        <rFont val="Calibri"/>
        <family val="2"/>
      </rPr>
      <t>7</t>
    </r>
    <r>
      <rPr>
        <sz val="11"/>
        <color theme="1"/>
        <rFont val="Calibri"/>
        <family val="2"/>
      </rPr>
      <t>Ever occupationally exposed to trichloroethylene</t>
    </r>
  </si>
  <si>
    <r>
      <t>TCE</t>
    </r>
    <r>
      <rPr>
        <b/>
        <vertAlign val="superscript"/>
        <sz val="11"/>
        <color indexed="8"/>
        <rFont val="Calibri"/>
        <family val="2"/>
      </rPr>
      <t>7</t>
    </r>
  </si>
  <si>
    <t xml:space="preserve">Alcohol Intake </t>
  </si>
  <si>
    <t>Frequency</t>
  </si>
  <si>
    <t xml:space="preserve">None </t>
  </si>
  <si>
    <t xml:space="preserve">Fuhrman </t>
  </si>
  <si>
    <t>Table S2. Univariate analysis of von Hippel-Lindau inactivating alterations associated with patient descriptive and clinical characteristics in clear cell RCC cases</t>
  </si>
  <si>
    <t>Family History of Kidney</t>
  </si>
  <si>
    <r>
      <t xml:space="preserve">Cancer </t>
    </r>
    <r>
      <rPr>
        <b/>
        <vertAlign val="superscript"/>
        <sz val="11"/>
        <color indexed="8"/>
        <rFont val="Calibri"/>
        <family val="2"/>
      </rPr>
      <t>5,6</t>
    </r>
  </si>
  <si>
    <t xml:space="preserve">p-value </t>
  </si>
  <si>
    <r>
      <t xml:space="preserve">Family History of Cancer </t>
    </r>
    <r>
      <rPr>
        <b/>
        <vertAlign val="superscript"/>
        <sz val="11"/>
        <color indexed="8"/>
        <rFont val="Calibri"/>
        <family val="2"/>
      </rPr>
      <t>5,6</t>
    </r>
    <r>
      <rPr>
        <b/>
        <sz val="11"/>
        <color indexed="8"/>
        <rFont val="Calibri"/>
        <family val="2"/>
      </rPr>
      <t xml:space="preserve"> 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</si>
</sst>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"/>
    <numFmt numFmtId="166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i/>
      <vertAlign val="superscript"/>
      <sz val="11"/>
      <color indexed="8"/>
      <name val="Calibri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6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43" fillId="0" borderId="10" xfId="0" applyNumberFormat="1" applyFont="1" applyBorder="1" applyAlignment="1">
      <alignment/>
    </xf>
    <xf numFmtId="0" fontId="2" fillId="0" borderId="0" xfId="60">
      <alignment/>
      <protection/>
    </xf>
    <xf numFmtId="0" fontId="2" fillId="0" borderId="0" xfId="60" applyBorder="1" applyAlignment="1">
      <alignment horizontal="center"/>
      <protection/>
    </xf>
    <xf numFmtId="164" fontId="2" fillId="0" borderId="0" xfId="60" applyNumberFormat="1" applyBorder="1" applyAlignment="1">
      <alignment horizontal="center"/>
      <protection/>
    </xf>
    <xf numFmtId="10" fontId="2" fillId="0" borderId="0" xfId="60" applyNumberFormat="1">
      <alignment/>
      <protection/>
    </xf>
    <xf numFmtId="0" fontId="43" fillId="0" borderId="10" xfId="0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2" xfId="0" applyBorder="1" applyAlignment="1">
      <alignment horizontal="center"/>
    </xf>
    <xf numFmtId="166" fontId="0" fillId="0" borderId="0" xfId="0" applyNumberFormat="1" applyAlignment="1">
      <alignment horizontal="center"/>
    </xf>
    <xf numFmtId="166" fontId="0" fillId="0" borderId="13" xfId="0" applyNumberFormat="1" applyBorder="1" applyAlignment="1">
      <alignment horizontal="center"/>
    </xf>
    <xf numFmtId="166" fontId="0" fillId="0" borderId="12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12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166" fontId="0" fillId="0" borderId="14" xfId="0" applyNumberFormat="1" applyBorder="1" applyAlignment="1">
      <alignment horizontal="center"/>
    </xf>
    <xf numFmtId="166" fontId="0" fillId="0" borderId="15" xfId="0" applyNumberForma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66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2" fontId="45" fillId="0" borderId="17" xfId="0" applyNumberFormat="1" applyFont="1" applyBorder="1" applyAlignment="1">
      <alignment horizontal="center"/>
    </xf>
    <xf numFmtId="165" fontId="45" fillId="0" borderId="17" xfId="0" applyNumberFormat="1" applyFont="1" applyBorder="1" applyAlignment="1">
      <alignment horizontal="center"/>
    </xf>
    <xf numFmtId="2" fontId="45" fillId="0" borderId="18" xfId="0" applyNumberFormat="1" applyFont="1" applyBorder="1" applyAlignment="1">
      <alignment horizontal="center"/>
    </xf>
    <xf numFmtId="0" fontId="45" fillId="0" borderId="0" xfId="0" applyFont="1" applyAlignment="1">
      <alignment/>
    </xf>
    <xf numFmtId="2" fontId="45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2" fontId="45" fillId="0" borderId="2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2" fontId="45" fillId="0" borderId="16" xfId="0" applyNumberFormat="1" applyFont="1" applyBorder="1" applyAlignment="1">
      <alignment horizontal="center"/>
    </xf>
    <xf numFmtId="2" fontId="45" fillId="0" borderId="21" xfId="0" applyNumberFormat="1" applyFont="1" applyBorder="1" applyAlignment="1">
      <alignment horizontal="center"/>
    </xf>
    <xf numFmtId="2" fontId="0" fillId="0" borderId="21" xfId="0" applyNumberFormat="1" applyBorder="1" applyAlignment="1">
      <alignment/>
    </xf>
    <xf numFmtId="1" fontId="0" fillId="0" borderId="19" xfId="0" applyNumberFormat="1" applyFont="1" applyBorder="1" applyAlignment="1">
      <alignment horizontal="center"/>
    </xf>
    <xf numFmtId="166" fontId="0" fillId="0" borderId="15" xfId="0" applyNumberFormat="1" applyFont="1" applyBorder="1" applyAlignment="1">
      <alignment horizontal="center"/>
    </xf>
    <xf numFmtId="166" fontId="0" fillId="0" borderId="16" xfId="0" applyNumberFormat="1" applyFont="1" applyBorder="1" applyAlignment="1">
      <alignment horizontal="center"/>
    </xf>
    <xf numFmtId="2" fontId="45" fillId="0" borderId="17" xfId="0" applyNumberFormat="1" applyFont="1" applyBorder="1" applyAlignment="1">
      <alignment horizontal="right"/>
    </xf>
    <xf numFmtId="0" fontId="43" fillId="0" borderId="13" xfId="0" applyFont="1" applyBorder="1" applyAlignment="1">
      <alignment horizontal="center"/>
    </xf>
    <xf numFmtId="166" fontId="43" fillId="0" borderId="13" xfId="0" applyNumberFormat="1" applyFont="1" applyBorder="1" applyAlignment="1">
      <alignment horizontal="center"/>
    </xf>
    <xf numFmtId="1" fontId="43" fillId="0" borderId="13" xfId="0" applyNumberFormat="1" applyFont="1" applyBorder="1" applyAlignment="1">
      <alignment horizontal="center"/>
    </xf>
    <xf numFmtId="166" fontId="43" fillId="0" borderId="14" xfId="0" applyNumberFormat="1" applyFont="1" applyBorder="1" applyAlignment="1">
      <alignment horizontal="center"/>
    </xf>
    <xf numFmtId="0" fontId="43" fillId="0" borderId="0" xfId="0" applyFont="1" applyAlignment="1">
      <alignment/>
    </xf>
    <xf numFmtId="49" fontId="43" fillId="0" borderId="0" xfId="0" applyNumberFormat="1" applyFont="1" applyAlignment="1">
      <alignment horizontal="center"/>
    </xf>
    <xf numFmtId="166" fontId="43" fillId="0" borderId="0" xfId="0" applyNumberFormat="1" applyFont="1" applyAlignment="1">
      <alignment horizontal="center"/>
    </xf>
    <xf numFmtId="49" fontId="43" fillId="0" borderId="22" xfId="0" applyNumberFormat="1" applyFont="1" applyBorder="1" applyAlignment="1">
      <alignment/>
    </xf>
    <xf numFmtId="0" fontId="43" fillId="0" borderId="21" xfId="0" applyFont="1" applyBorder="1" applyAlignment="1">
      <alignment/>
    </xf>
    <xf numFmtId="1" fontId="45" fillId="0" borderId="17" xfId="0" applyNumberFormat="1" applyFont="1" applyBorder="1" applyAlignment="1">
      <alignment horizontal="center"/>
    </xf>
    <xf numFmtId="0" fontId="45" fillId="0" borderId="17" xfId="0" applyFont="1" applyBorder="1" applyAlignment="1">
      <alignment horizontal="center"/>
    </xf>
    <xf numFmtId="1" fontId="45" fillId="0" borderId="18" xfId="0" applyNumberFormat="1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1" fontId="43" fillId="0" borderId="12" xfId="0" applyNumberFormat="1" applyFont="1" applyBorder="1" applyAlignment="1">
      <alignment horizontal="center"/>
    </xf>
    <xf numFmtId="166" fontId="43" fillId="0" borderId="12" xfId="0" applyNumberFormat="1" applyFont="1" applyBorder="1" applyAlignment="1">
      <alignment horizontal="center"/>
    </xf>
    <xf numFmtId="0" fontId="43" fillId="0" borderId="19" xfId="0" applyFont="1" applyBorder="1" applyAlignment="1">
      <alignment horizontal="center"/>
    </xf>
    <xf numFmtId="166" fontId="43" fillId="0" borderId="15" xfId="0" applyNumberFormat="1" applyFont="1" applyBorder="1" applyAlignment="1">
      <alignment horizontal="center"/>
    </xf>
    <xf numFmtId="49" fontId="43" fillId="0" borderId="21" xfId="0" applyNumberFormat="1" applyFont="1" applyBorder="1" applyAlignment="1">
      <alignment/>
    </xf>
    <xf numFmtId="166" fontId="0" fillId="0" borderId="21" xfId="0" applyNumberFormat="1" applyBorder="1" applyAlignment="1">
      <alignment/>
    </xf>
    <xf numFmtId="2" fontId="45" fillId="0" borderId="20" xfId="0" applyNumberFormat="1" applyFont="1" applyBorder="1" applyAlignment="1">
      <alignment horizontal="right"/>
    </xf>
    <xf numFmtId="1" fontId="43" fillId="0" borderId="15" xfId="0" applyNumberFormat="1" applyFont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" fontId="45" fillId="0" borderId="0" xfId="0" applyNumberFormat="1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1" fontId="45" fillId="0" borderId="16" xfId="0" applyNumberFormat="1" applyFont="1" applyBorder="1" applyAlignment="1">
      <alignment horizontal="center"/>
    </xf>
    <xf numFmtId="2" fontId="45" fillId="0" borderId="0" xfId="0" applyNumberFormat="1" applyFont="1" applyFill="1" applyBorder="1" applyAlignment="1">
      <alignment horizontal="center"/>
    </xf>
    <xf numFmtId="0" fontId="45" fillId="0" borderId="21" xfId="0" applyFont="1" applyBorder="1" applyAlignment="1">
      <alignment/>
    </xf>
    <xf numFmtId="0" fontId="0" fillId="0" borderId="19" xfId="0" applyBorder="1" applyAlignment="1">
      <alignment horizontal="left"/>
    </xf>
    <xf numFmtId="0" fontId="0" fillId="0" borderId="21" xfId="0" applyBorder="1" applyAlignment="1">
      <alignment horizontal="left"/>
    </xf>
    <xf numFmtId="0" fontId="45" fillId="0" borderId="20" xfId="0" applyFont="1" applyBorder="1" applyAlignment="1">
      <alignment/>
    </xf>
    <xf numFmtId="2" fontId="45" fillId="0" borderId="21" xfId="0" applyNumberFormat="1" applyFont="1" applyBorder="1" applyAlignment="1">
      <alignment horizontal="right"/>
    </xf>
    <xf numFmtId="2" fontId="43" fillId="0" borderId="21" xfId="0" applyNumberFormat="1" applyFont="1" applyBorder="1" applyAlignment="1">
      <alignment horizontal="left"/>
    </xf>
    <xf numFmtId="2" fontId="45" fillId="0" borderId="10" xfId="0" applyNumberFormat="1" applyFont="1" applyBorder="1" applyAlignment="1">
      <alignment horizontal="center"/>
    </xf>
    <xf numFmtId="1" fontId="45" fillId="0" borderId="13" xfId="0" applyNumberFormat="1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2" fontId="45" fillId="0" borderId="13" xfId="0" applyNumberFormat="1" applyFont="1" applyBorder="1" applyAlignment="1">
      <alignment horizontal="center"/>
    </xf>
    <xf numFmtId="0" fontId="45" fillId="0" borderId="13" xfId="0" applyFont="1" applyBorder="1" applyAlignment="1">
      <alignment horizontal="center"/>
    </xf>
    <xf numFmtId="2" fontId="45" fillId="0" borderId="13" xfId="0" applyNumberFormat="1" applyFont="1" applyFill="1" applyBorder="1" applyAlignment="1">
      <alignment horizontal="center"/>
    </xf>
    <xf numFmtId="1" fontId="45" fillId="0" borderId="14" xfId="0" applyNumberFormat="1" applyFont="1" applyBorder="1" applyAlignment="1">
      <alignment horizontal="center"/>
    </xf>
    <xf numFmtId="1" fontId="0" fillId="0" borderId="21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0" fontId="45" fillId="0" borderId="21" xfId="0" applyFont="1" applyBorder="1" applyAlignment="1">
      <alignment horizontal="center"/>
    </xf>
    <xf numFmtId="0" fontId="43" fillId="0" borderId="23" xfId="0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43" fillId="0" borderId="2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/>
    </xf>
    <xf numFmtId="166" fontId="45" fillId="0" borderId="18" xfId="0" applyNumberFormat="1" applyFont="1" applyBorder="1" applyAlignment="1">
      <alignment horizontal="center"/>
    </xf>
    <xf numFmtId="166" fontId="45" fillId="0" borderId="16" xfId="0" applyNumberFormat="1" applyFont="1" applyBorder="1" applyAlignment="1">
      <alignment horizontal="center"/>
    </xf>
    <xf numFmtId="0" fontId="43" fillId="0" borderId="12" xfId="0" applyFont="1" applyFill="1" applyBorder="1" applyAlignment="1">
      <alignment horizontal="center"/>
    </xf>
    <xf numFmtId="2" fontId="45" fillId="0" borderId="17" xfId="0" applyNumberFormat="1" applyFont="1" applyFill="1" applyBorder="1" applyAlignment="1">
      <alignment horizontal="center"/>
    </xf>
    <xf numFmtId="2" fontId="45" fillId="0" borderId="2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43" fillId="0" borderId="21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left"/>
    </xf>
    <xf numFmtId="2" fontId="0" fillId="0" borderId="21" xfId="0" applyNumberFormat="1" applyFont="1" applyBorder="1" applyAlignment="1">
      <alignment horizontal="left"/>
    </xf>
    <xf numFmtId="1" fontId="0" fillId="0" borderId="12" xfId="0" applyNumberFormat="1" applyFont="1" applyFill="1" applyBorder="1" applyAlignment="1">
      <alignment horizontal="center"/>
    </xf>
    <xf numFmtId="166" fontId="0" fillId="0" borderId="12" xfId="0" applyNumberFormat="1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1" fontId="45" fillId="0" borderId="0" xfId="0" applyNumberFormat="1" applyFont="1" applyAlignment="1">
      <alignment/>
    </xf>
    <xf numFmtId="166" fontId="45" fillId="0" borderId="0" xfId="0" applyNumberFormat="1" applyFont="1" applyAlignment="1">
      <alignment/>
    </xf>
    <xf numFmtId="165" fontId="45" fillId="0" borderId="16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2" fontId="45" fillId="0" borderId="11" xfId="0" applyNumberFormat="1" applyFont="1" applyBorder="1" applyAlignment="1">
      <alignment horizontal="right"/>
    </xf>
    <xf numFmtId="1" fontId="0" fillId="0" borderId="19" xfId="0" applyNumberForma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2" fontId="3" fillId="0" borderId="24" xfId="0" applyNumberFormat="1" applyFont="1" applyBorder="1" applyAlignment="1">
      <alignment horizontal="right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5" xfId="59"/>
    <cellStyle name="Normal 6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25"/>
          <c:y val="0.0025"/>
          <c:w val="1"/>
          <c:h val="0.9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1'!$G$22</c:f>
              <c:strCache>
                <c:ptCount val="1"/>
                <c:pt idx="0">
                  <c:v>All Alterations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1'!$F$23:$F$25</c:f>
              <c:strCache/>
            </c:strRef>
          </c:cat>
          <c:val>
            <c:numRef>
              <c:f>'Figure 1'!$G$23:$G$25</c:f>
              <c:numCache/>
            </c:numRef>
          </c:val>
        </c:ser>
        <c:ser>
          <c:idx val="1"/>
          <c:order val="1"/>
          <c:tx>
            <c:strRef>
              <c:f>'Figure 1'!$H$22</c:f>
              <c:strCache>
                <c:ptCount val="1"/>
                <c:pt idx="0">
                  <c:v>Functional Alterations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1'!$F$23:$F$25</c:f>
              <c:strCache/>
            </c:strRef>
          </c:cat>
          <c:val>
            <c:numRef>
              <c:f>'Figure 1'!$H$23:$H$25</c:f>
              <c:numCache/>
            </c:numRef>
          </c:val>
        </c:ser>
        <c:axId val="18517552"/>
        <c:axId val="32440241"/>
      </c:barChart>
      <c:catAx>
        <c:axId val="185175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440241"/>
        <c:crossesAt val="0.7000000000000006"/>
        <c:auto val="1"/>
        <c:lblOffset val="100"/>
        <c:tickLblSkip val="1"/>
        <c:noMultiLvlLbl val="0"/>
      </c:catAx>
      <c:valAx>
        <c:axId val="32440241"/>
        <c:scaling>
          <c:orientation val="minMax"/>
          <c:max val="0.9"/>
          <c:min val="0.7000000000000006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5175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1675"/>
          <c:y val="0.03525"/>
          <c:w val="0.55"/>
          <c:h val="0.10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</xdr:row>
      <xdr:rowOff>0</xdr:rowOff>
    </xdr:from>
    <xdr:to>
      <xdr:col>9</xdr:col>
      <xdr:colOff>104775</xdr:colOff>
      <xdr:row>17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571500"/>
          <a:ext cx="6105525" cy="2819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495300</xdr:colOff>
      <xdr:row>4</xdr:row>
      <xdr:rowOff>76200</xdr:rowOff>
    </xdr:from>
    <xdr:to>
      <xdr:col>11</xdr:col>
      <xdr:colOff>285750</xdr:colOff>
      <xdr:row>20</xdr:row>
      <xdr:rowOff>76200</xdr:rowOff>
    </xdr:to>
    <xdr:graphicFrame>
      <xdr:nvGraphicFramePr>
        <xdr:cNvPr id="2" name="Chart 3"/>
        <xdr:cNvGraphicFramePr/>
      </xdr:nvGraphicFramePr>
      <xdr:xfrm>
        <a:off x="3543300" y="838200"/>
        <a:ext cx="4572000" cy="304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5"/>
  <sheetViews>
    <sheetView zoomScalePageLayoutView="0" workbookViewId="0" topLeftCell="A3">
      <selection activeCell="H25" sqref="H25"/>
    </sheetView>
  </sheetViews>
  <sheetFormatPr defaultColWidth="9.140625" defaultRowHeight="15"/>
  <cols>
    <col min="6" max="6" width="21.7109375" style="0" customWidth="1"/>
    <col min="7" max="7" width="13.421875" style="0" customWidth="1"/>
  </cols>
  <sheetData>
    <row r="2" ht="15">
      <c r="A2" s="1" t="s">
        <v>21</v>
      </c>
    </row>
    <row r="4" spans="2:8" ht="15">
      <c r="B4" s="3"/>
      <c r="C4" s="3"/>
      <c r="D4" s="3"/>
      <c r="E4" s="3"/>
      <c r="F4" s="3"/>
      <c r="G4" s="3"/>
      <c r="H4" s="3"/>
    </row>
    <row r="5" spans="2:8" ht="15">
      <c r="B5" s="3"/>
      <c r="C5" s="3"/>
      <c r="D5" s="6"/>
      <c r="E5" s="3"/>
      <c r="F5" s="3"/>
      <c r="G5" s="4"/>
      <c r="H5" s="5"/>
    </row>
    <row r="6" spans="2:8" ht="15">
      <c r="B6" s="3"/>
      <c r="C6" s="3"/>
      <c r="D6" s="6"/>
      <c r="E6" s="3"/>
      <c r="F6" s="3"/>
      <c r="G6" s="4"/>
      <c r="H6" s="5"/>
    </row>
    <row r="7" spans="2:8" ht="15">
      <c r="B7" s="3"/>
      <c r="C7" s="3"/>
      <c r="D7" s="6"/>
      <c r="E7" s="3"/>
      <c r="F7" s="3"/>
      <c r="G7" s="4"/>
      <c r="H7" s="5"/>
    </row>
    <row r="22" spans="7:8" ht="15">
      <c r="G22" t="s">
        <v>45</v>
      </c>
      <c r="H22" t="s">
        <v>46</v>
      </c>
    </row>
    <row r="23" spans="6:8" ht="15">
      <c r="F23" t="s">
        <v>50</v>
      </c>
      <c r="G23" s="88">
        <v>0.82</v>
      </c>
      <c r="H23" s="88">
        <v>0.71</v>
      </c>
    </row>
    <row r="24" spans="6:8" ht="15">
      <c r="F24" t="s">
        <v>49</v>
      </c>
      <c r="G24" s="88">
        <v>0.83</v>
      </c>
      <c r="H24" s="88">
        <v>0.73</v>
      </c>
    </row>
    <row r="25" spans="6:8" ht="15">
      <c r="F25" t="s">
        <v>51</v>
      </c>
      <c r="G25" s="88">
        <v>0.883</v>
      </c>
      <c r="H25" s="88">
        <v>0.78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3"/>
  <sheetViews>
    <sheetView tabSelected="1" zoomScalePageLayoutView="0" workbookViewId="0" topLeftCell="A1">
      <selection activeCell="P73" sqref="A1:P73"/>
    </sheetView>
  </sheetViews>
  <sheetFormatPr defaultColWidth="9.140625" defaultRowHeight="15"/>
  <cols>
    <col min="1" max="1" width="27.00390625" style="0" customWidth="1"/>
    <col min="2" max="2" width="10.28125" style="9" customWidth="1"/>
    <col min="3" max="3" width="18.28125" style="9" customWidth="1"/>
    <col min="4" max="4" width="9.140625" style="9" customWidth="1"/>
    <col min="5" max="5" width="14.140625" style="69" customWidth="1"/>
    <col min="6" max="6" width="9.140625" style="69" customWidth="1"/>
    <col min="7" max="7" width="17.8515625" style="9" customWidth="1"/>
    <col min="8" max="8" width="9.140625" style="9" customWidth="1"/>
    <col min="9" max="9" width="14.8515625" style="9" customWidth="1"/>
    <col min="10" max="10" width="11.8515625" style="9" customWidth="1"/>
    <col min="11" max="11" width="13.00390625" style="9" customWidth="1"/>
    <col min="12" max="13" width="12.140625" style="9" customWidth="1"/>
    <col min="14" max="14" width="10.28125" style="9" customWidth="1"/>
    <col min="15" max="15" width="9.140625" style="9" customWidth="1"/>
    <col min="16" max="16" width="10.57421875" style="9" customWidth="1"/>
    <col min="17" max="18" width="9.140625" style="9" customWidth="1"/>
  </cols>
  <sheetData>
    <row r="1" spans="1:16" s="51" customFormat="1" ht="15">
      <c r="A1" s="64" t="s">
        <v>81</v>
      </c>
      <c r="B1" s="52"/>
      <c r="C1" s="52"/>
      <c r="D1" s="53"/>
      <c r="E1" s="53"/>
      <c r="F1" s="53"/>
      <c r="G1" s="52"/>
      <c r="H1" s="53"/>
      <c r="I1" s="53"/>
      <c r="J1" s="53"/>
      <c r="K1" s="52"/>
      <c r="L1" s="52"/>
      <c r="M1" s="52"/>
      <c r="N1" s="52"/>
      <c r="O1" s="52"/>
      <c r="P1" s="52"/>
    </row>
    <row r="2" spans="1:18" ht="15">
      <c r="A2" s="65"/>
      <c r="D2" s="13"/>
      <c r="E2" s="13"/>
      <c r="F2" s="13"/>
      <c r="H2" s="13"/>
      <c r="I2" s="13"/>
      <c r="J2" s="13"/>
      <c r="Q2"/>
      <c r="R2"/>
    </row>
    <row r="3" spans="1:16" s="51" customFormat="1" ht="17.25">
      <c r="A3" s="2" t="s">
        <v>52</v>
      </c>
      <c r="B3" s="7"/>
      <c r="C3" s="47" t="s">
        <v>56</v>
      </c>
      <c r="D3" s="50" t="s">
        <v>1</v>
      </c>
      <c r="E3" s="49" t="s">
        <v>20</v>
      </c>
      <c r="F3" s="47" t="s">
        <v>22</v>
      </c>
      <c r="G3" s="47" t="s">
        <v>64</v>
      </c>
      <c r="H3" s="48" t="s">
        <v>1</v>
      </c>
      <c r="I3" s="47" t="s">
        <v>66</v>
      </c>
      <c r="J3" s="47" t="s">
        <v>1</v>
      </c>
      <c r="K3" s="7" t="s">
        <v>70</v>
      </c>
      <c r="L3" s="47" t="s">
        <v>1</v>
      </c>
      <c r="M3" s="47" t="s">
        <v>71</v>
      </c>
      <c r="N3" s="47" t="s">
        <v>1</v>
      </c>
      <c r="O3" s="47" t="s">
        <v>72</v>
      </c>
      <c r="P3" s="50" t="s">
        <v>1</v>
      </c>
    </row>
    <row r="4" spans="1:16" s="51" customFormat="1" ht="15">
      <c r="A4" s="2" t="s">
        <v>53</v>
      </c>
      <c r="B4" s="59" t="s">
        <v>19</v>
      </c>
      <c r="C4" s="98">
        <v>470</v>
      </c>
      <c r="D4" s="67">
        <v>100</v>
      </c>
      <c r="E4" s="60">
        <v>41</v>
      </c>
      <c r="F4" s="61">
        <v>8.72340425531915</v>
      </c>
      <c r="G4" s="59">
        <v>366</v>
      </c>
      <c r="H4" s="61">
        <v>77.87234042553192</v>
      </c>
      <c r="I4" s="59">
        <v>16</v>
      </c>
      <c r="J4" s="61">
        <v>3.404255319148936</v>
      </c>
      <c r="K4" s="62">
        <v>141</v>
      </c>
      <c r="L4" s="61">
        <f>K4/354*100</f>
        <v>39.83050847457627</v>
      </c>
      <c r="M4" s="59">
        <v>115</v>
      </c>
      <c r="N4" s="61">
        <f>M4/354*100</f>
        <v>32.48587570621469</v>
      </c>
      <c r="O4" s="59">
        <v>98</v>
      </c>
      <c r="P4" s="63">
        <f>O4/354*100</f>
        <v>27.683615819209038</v>
      </c>
    </row>
    <row r="5" spans="1:18" ht="15">
      <c r="A5" s="90" t="s">
        <v>23</v>
      </c>
      <c r="B5" s="12" t="s">
        <v>57</v>
      </c>
      <c r="C5" s="12">
        <v>89</v>
      </c>
      <c r="D5" s="20">
        <v>19.3058568329718</v>
      </c>
      <c r="E5" s="17">
        <v>7</v>
      </c>
      <c r="F5" s="15">
        <f>E5/C5*100</f>
        <v>7.865168539325842</v>
      </c>
      <c r="G5" s="12">
        <v>71</v>
      </c>
      <c r="H5" s="15">
        <f>G5/C5*100</f>
        <v>79.7752808988764</v>
      </c>
      <c r="I5" s="12">
        <v>4</v>
      </c>
      <c r="J5" s="15">
        <f>I5/C5*100</f>
        <v>4.49438202247191</v>
      </c>
      <c r="K5" s="35">
        <v>30</v>
      </c>
      <c r="L5" s="15">
        <f>K5/72*100</f>
        <v>41.66666666666667</v>
      </c>
      <c r="M5" s="12">
        <v>29</v>
      </c>
      <c r="N5" s="15">
        <f>M5/72*100</f>
        <v>40.27777777777778</v>
      </c>
      <c r="O5" s="12">
        <v>13</v>
      </c>
      <c r="P5" s="20">
        <f>O5/72*100</f>
        <v>18.055555555555554</v>
      </c>
      <c r="Q5"/>
      <c r="R5"/>
    </row>
    <row r="6" spans="1:18" ht="15">
      <c r="A6" s="10"/>
      <c r="B6" s="94" t="s">
        <v>8</v>
      </c>
      <c r="C6" s="94">
        <v>224</v>
      </c>
      <c r="D6" s="23">
        <v>48.590021691973966</v>
      </c>
      <c r="E6" s="22">
        <v>25</v>
      </c>
      <c r="F6" s="21">
        <f>E6/C6*100</f>
        <v>11.160714285714286</v>
      </c>
      <c r="G6" s="94">
        <v>169</v>
      </c>
      <c r="H6" s="21">
        <f>G6/C6*100</f>
        <v>75.44642857142857</v>
      </c>
      <c r="I6" s="94">
        <v>4</v>
      </c>
      <c r="J6" s="21">
        <f>I6/C6*100</f>
        <v>1.7857142857142856</v>
      </c>
      <c r="K6" s="95">
        <v>61</v>
      </c>
      <c r="L6" s="21">
        <f>K6/158*100</f>
        <v>38.607594936708864</v>
      </c>
      <c r="M6" s="94">
        <v>45</v>
      </c>
      <c r="N6" s="21">
        <f>M6/158*100</f>
        <v>28.48101265822785</v>
      </c>
      <c r="O6" s="94">
        <v>52</v>
      </c>
      <c r="P6" s="23">
        <f>O6/158*100</f>
        <v>32.91139240506329</v>
      </c>
      <c r="Q6"/>
      <c r="R6"/>
    </row>
    <row r="7" spans="1:18" ht="15">
      <c r="A7" s="10"/>
      <c r="B7" s="94" t="s">
        <v>9</v>
      </c>
      <c r="C7" s="94">
        <v>148</v>
      </c>
      <c r="D7" s="23">
        <v>32.10412147505423</v>
      </c>
      <c r="E7" s="22">
        <v>8</v>
      </c>
      <c r="F7" s="21">
        <f>E7/C7*100</f>
        <v>5.405405405405405</v>
      </c>
      <c r="G7" s="94">
        <v>120</v>
      </c>
      <c r="H7" s="21">
        <f>G7/C7*100</f>
        <v>81.08108108108108</v>
      </c>
      <c r="I7" s="94">
        <v>8</v>
      </c>
      <c r="J7" s="21">
        <f>I7/C7*100</f>
        <v>5.405405405405405</v>
      </c>
      <c r="K7" s="95">
        <v>48</v>
      </c>
      <c r="L7" s="21">
        <f>K7/119*100</f>
        <v>40.33613445378151</v>
      </c>
      <c r="M7" s="94">
        <v>39</v>
      </c>
      <c r="N7" s="21">
        <f>M7/119*100</f>
        <v>32.773109243697476</v>
      </c>
      <c r="O7" s="94">
        <v>32</v>
      </c>
      <c r="P7" s="23">
        <f>O7/119*100</f>
        <v>26.89075630252101</v>
      </c>
      <c r="Q7"/>
      <c r="R7"/>
    </row>
    <row r="8" spans="1:16" s="32" customFormat="1" ht="15">
      <c r="A8" s="66" t="s">
        <v>48</v>
      </c>
      <c r="B8" s="36"/>
      <c r="C8" s="29"/>
      <c r="D8" s="31"/>
      <c r="E8" s="29">
        <v>0.255</v>
      </c>
      <c r="F8" s="29"/>
      <c r="G8" s="29">
        <v>0.641</v>
      </c>
      <c r="H8" s="29"/>
      <c r="I8" s="29">
        <v>0.482</v>
      </c>
      <c r="J8" s="29"/>
      <c r="K8" s="36">
        <v>0.953</v>
      </c>
      <c r="L8" s="29"/>
      <c r="M8" s="29">
        <v>0.512</v>
      </c>
      <c r="N8" s="29"/>
      <c r="O8" s="29">
        <v>0.503</v>
      </c>
      <c r="P8" s="31"/>
    </row>
    <row r="9" spans="1:18" ht="15">
      <c r="A9" s="90" t="s">
        <v>80</v>
      </c>
      <c r="B9" s="12" t="s">
        <v>11</v>
      </c>
      <c r="C9" s="12">
        <v>2</v>
      </c>
      <c r="D9" s="20">
        <f>C9/459*100</f>
        <v>0.4357298474945534</v>
      </c>
      <c r="E9" s="17">
        <v>1</v>
      </c>
      <c r="F9" s="15">
        <f>E9/C9*100</f>
        <v>50</v>
      </c>
      <c r="G9" s="12">
        <v>0</v>
      </c>
      <c r="H9" s="15">
        <f>G9/C9*100</f>
        <v>0</v>
      </c>
      <c r="I9" s="12">
        <v>0</v>
      </c>
      <c r="J9" s="15">
        <f>I9/C9*100</f>
        <v>0</v>
      </c>
      <c r="K9" s="35">
        <v>0</v>
      </c>
      <c r="L9" s="15">
        <v>0</v>
      </c>
      <c r="M9" s="12">
        <v>0</v>
      </c>
      <c r="N9" s="15">
        <v>0</v>
      </c>
      <c r="O9" s="12">
        <v>0</v>
      </c>
      <c r="P9" s="20">
        <v>0</v>
      </c>
      <c r="Q9"/>
      <c r="R9"/>
    </row>
    <row r="10" spans="1:18" ht="15">
      <c r="A10" s="91" t="s">
        <v>25</v>
      </c>
      <c r="B10" s="94" t="s">
        <v>12</v>
      </c>
      <c r="C10" s="94">
        <v>344</v>
      </c>
      <c r="D10" s="23">
        <f>C10/459*100</f>
        <v>74.94553376906318</v>
      </c>
      <c r="E10" s="22">
        <v>33</v>
      </c>
      <c r="F10" s="21">
        <f>E10/C10*100</f>
        <v>9.593023255813954</v>
      </c>
      <c r="G10" s="94">
        <v>269</v>
      </c>
      <c r="H10" s="21">
        <f>G10/C10*100</f>
        <v>78.19767441860465</v>
      </c>
      <c r="I10" s="94">
        <v>10</v>
      </c>
      <c r="J10" s="21">
        <f>I10/C10*100</f>
        <v>2.9069767441860463</v>
      </c>
      <c r="K10" s="95">
        <v>103</v>
      </c>
      <c r="L10" s="21">
        <f>K10/258*100</f>
        <v>39.922480620155035</v>
      </c>
      <c r="M10" s="94">
        <v>82</v>
      </c>
      <c r="N10" s="21">
        <f>M10/258*100</f>
        <v>31.782945736434108</v>
      </c>
      <c r="O10" s="94">
        <v>73</v>
      </c>
      <c r="P10" s="23">
        <f>O10/258*100</f>
        <v>28.294573643410853</v>
      </c>
      <c r="Q10"/>
      <c r="R10"/>
    </row>
    <row r="11" spans="1:18" ht="15">
      <c r="A11" s="10"/>
      <c r="B11" s="94" t="s">
        <v>26</v>
      </c>
      <c r="C11" s="94">
        <v>113</v>
      </c>
      <c r="D11" s="23">
        <f>C11/459*100</f>
        <v>24.618736383442265</v>
      </c>
      <c r="E11" s="22">
        <v>6</v>
      </c>
      <c r="F11" s="21">
        <f>E11/C11*100</f>
        <v>5.3097345132743365</v>
      </c>
      <c r="G11" s="94">
        <v>88</v>
      </c>
      <c r="H11" s="21">
        <f>G11/C11*100</f>
        <v>77.87610619469027</v>
      </c>
      <c r="I11" s="94">
        <v>4</v>
      </c>
      <c r="J11" s="21">
        <f>I11/C11*100</f>
        <v>3.5398230088495577</v>
      </c>
      <c r="K11" s="95">
        <v>34</v>
      </c>
      <c r="L11" s="21">
        <f>K11/85*100</f>
        <v>40</v>
      </c>
      <c r="M11" s="94">
        <v>27</v>
      </c>
      <c r="N11" s="21">
        <f>M11/85*100</f>
        <v>31.76470588235294</v>
      </c>
      <c r="O11" s="94">
        <v>24</v>
      </c>
      <c r="P11" s="23">
        <f>O11/85*100</f>
        <v>28.235294117647058</v>
      </c>
      <c r="Q11"/>
      <c r="R11"/>
    </row>
    <row r="12" spans="1:16" s="32" customFormat="1" ht="15">
      <c r="A12" s="66" t="s">
        <v>48</v>
      </c>
      <c r="B12" s="36"/>
      <c r="C12" s="29"/>
      <c r="D12" s="31"/>
      <c r="E12" s="29">
        <v>0.439</v>
      </c>
      <c r="F12" s="29"/>
      <c r="G12" s="29">
        <v>0.67</v>
      </c>
      <c r="H12" s="29"/>
      <c r="I12" s="29">
        <v>0.704</v>
      </c>
      <c r="J12" s="29"/>
      <c r="K12" s="36">
        <v>0.947</v>
      </c>
      <c r="L12" s="29"/>
      <c r="M12" s="29">
        <v>0.714</v>
      </c>
      <c r="N12" s="29"/>
      <c r="O12" s="29">
        <v>0.968</v>
      </c>
      <c r="P12" s="31"/>
    </row>
    <row r="13" spans="1:18" ht="15">
      <c r="A13" s="90" t="s">
        <v>27</v>
      </c>
      <c r="B13" s="12" t="s">
        <v>28</v>
      </c>
      <c r="C13" s="12">
        <v>370</v>
      </c>
      <c r="D13" s="20">
        <v>90.68627450980392</v>
      </c>
      <c r="E13" s="17">
        <v>32</v>
      </c>
      <c r="F13" s="15">
        <f>E13/C13*100</f>
        <v>8.64864864864865</v>
      </c>
      <c r="G13" s="12">
        <v>286</v>
      </c>
      <c r="H13" s="15">
        <f>G13/C13*100</f>
        <v>77.29729729729729</v>
      </c>
      <c r="I13" s="12">
        <v>10</v>
      </c>
      <c r="J13" s="15">
        <f>I13/C13*100</f>
        <v>2.7027027027027026</v>
      </c>
      <c r="K13" s="35">
        <v>119</v>
      </c>
      <c r="L13" s="15">
        <f>K13/277*100</f>
        <v>42.96028880866426</v>
      </c>
      <c r="M13" s="12">
        <v>87</v>
      </c>
      <c r="N13" s="15">
        <f>M13/277*100</f>
        <v>31.40794223826715</v>
      </c>
      <c r="O13" s="12">
        <v>71</v>
      </c>
      <c r="P13" s="20">
        <f>O13/277*100</f>
        <v>25.63176895306859</v>
      </c>
      <c r="Q13"/>
      <c r="R13"/>
    </row>
    <row r="14" spans="1:18" ht="15">
      <c r="A14" s="10"/>
      <c r="B14" s="94" t="s">
        <v>29</v>
      </c>
      <c r="C14" s="94">
        <v>21</v>
      </c>
      <c r="D14" s="23">
        <v>5.147058823529411</v>
      </c>
      <c r="E14" s="22">
        <v>1</v>
      </c>
      <c r="F14" s="21">
        <f>E14/C14*100</f>
        <v>4.761904761904762</v>
      </c>
      <c r="G14" s="94">
        <v>20</v>
      </c>
      <c r="H14" s="21">
        <f>G14/C14*100</f>
        <v>95.23809523809523</v>
      </c>
      <c r="I14" s="94">
        <v>3</v>
      </c>
      <c r="J14" s="21">
        <f>I14/C14*100</f>
        <v>14.285714285714285</v>
      </c>
      <c r="K14" s="95">
        <v>6</v>
      </c>
      <c r="L14" s="21">
        <f>K14/22*100</f>
        <v>27.27272727272727</v>
      </c>
      <c r="M14" s="94">
        <v>7</v>
      </c>
      <c r="N14" s="21">
        <f>M14/22*100</f>
        <v>31.818181818181817</v>
      </c>
      <c r="O14" s="94">
        <v>9</v>
      </c>
      <c r="P14" s="23">
        <f>O14/22*100</f>
        <v>40.909090909090914</v>
      </c>
      <c r="Q14"/>
      <c r="R14"/>
    </row>
    <row r="15" spans="1:18" ht="15">
      <c r="A15" s="10"/>
      <c r="B15" s="94" t="s">
        <v>47</v>
      </c>
      <c r="C15" s="94">
        <v>17</v>
      </c>
      <c r="D15" s="23">
        <v>4.2</v>
      </c>
      <c r="E15" s="22">
        <v>2</v>
      </c>
      <c r="F15" s="21">
        <f>E15/C15*100</f>
        <v>11.76470588235294</v>
      </c>
      <c r="G15" s="94">
        <v>9</v>
      </c>
      <c r="H15" s="21">
        <f>G15/C15*100</f>
        <v>52.94117647058824</v>
      </c>
      <c r="I15" s="94">
        <v>0</v>
      </c>
      <c r="J15" s="21">
        <f>I15/C15*100</f>
        <v>0</v>
      </c>
      <c r="K15" s="95">
        <v>2</v>
      </c>
      <c r="L15" s="21">
        <f>K15/7*100</f>
        <v>28.57142857142857</v>
      </c>
      <c r="M15" s="94">
        <v>2</v>
      </c>
      <c r="N15" s="21">
        <f>M15/7*100</f>
        <v>28.57142857142857</v>
      </c>
      <c r="O15" s="94">
        <v>3</v>
      </c>
      <c r="P15" s="23">
        <f>O15/7*100</f>
        <v>42.857142857142854</v>
      </c>
      <c r="Q15"/>
      <c r="R15"/>
    </row>
    <row r="16" spans="1:16" s="32" customFormat="1" ht="15">
      <c r="A16" s="66" t="s">
        <v>48</v>
      </c>
      <c r="B16" s="36"/>
      <c r="C16" s="29"/>
      <c r="D16" s="31"/>
      <c r="E16" s="29">
        <v>0.962</v>
      </c>
      <c r="F16" s="29"/>
      <c r="G16" s="29">
        <v>0.278</v>
      </c>
      <c r="H16" s="29"/>
      <c r="I16" s="29">
        <v>0.457</v>
      </c>
      <c r="J16" s="29"/>
      <c r="K16" s="36">
        <v>0.201</v>
      </c>
      <c r="L16" s="29"/>
      <c r="M16" s="29">
        <v>0.977</v>
      </c>
      <c r="N16" s="29"/>
      <c r="O16" s="29">
        <v>0.127</v>
      </c>
      <c r="P16" s="31"/>
    </row>
    <row r="17" spans="1:18" ht="15">
      <c r="A17" s="90" t="s">
        <v>10</v>
      </c>
      <c r="B17" s="12" t="s">
        <v>63</v>
      </c>
      <c r="C17" s="12">
        <v>61</v>
      </c>
      <c r="D17" s="20">
        <v>13.707865168539326</v>
      </c>
      <c r="E17" s="17">
        <v>5</v>
      </c>
      <c r="F17" s="15">
        <f>E17/C17*100</f>
        <v>8.19672131147541</v>
      </c>
      <c r="G17" s="12">
        <v>48</v>
      </c>
      <c r="H17" s="15">
        <f>G17/C17*100</f>
        <v>78.68852459016394</v>
      </c>
      <c r="I17" s="12">
        <v>3</v>
      </c>
      <c r="J17" s="15">
        <f>I17/C17*100</f>
        <v>4.918032786885246</v>
      </c>
      <c r="K17" s="35">
        <v>15</v>
      </c>
      <c r="L17" s="15">
        <f>K17/48*100</f>
        <v>31.25</v>
      </c>
      <c r="M17" s="12">
        <v>19</v>
      </c>
      <c r="N17" s="15">
        <f>M17/48*100</f>
        <v>39.58333333333333</v>
      </c>
      <c r="O17" s="12">
        <v>14</v>
      </c>
      <c r="P17" s="20">
        <f>O17/48*100</f>
        <v>29.166666666666668</v>
      </c>
      <c r="Q17"/>
      <c r="R17"/>
    </row>
    <row r="18" spans="1:18" ht="15">
      <c r="A18" s="10"/>
      <c r="B18" s="101" t="s">
        <v>61</v>
      </c>
      <c r="C18" s="94">
        <v>362</v>
      </c>
      <c r="D18" s="23">
        <v>81.34831460674158</v>
      </c>
      <c r="E18" s="22">
        <v>32</v>
      </c>
      <c r="F18" s="21">
        <f>E18/C18*100</f>
        <v>8.83977900552486</v>
      </c>
      <c r="G18" s="94">
        <v>281</v>
      </c>
      <c r="H18" s="21">
        <f>G18/C18*100</f>
        <v>77.62430939226519</v>
      </c>
      <c r="I18" s="94">
        <v>10</v>
      </c>
      <c r="J18" s="21">
        <f>I18/C18*100</f>
        <v>2.7624309392265194</v>
      </c>
      <c r="K18" s="95">
        <v>118</v>
      </c>
      <c r="L18" s="21">
        <f>K18/272*100</f>
        <v>43.38235294117647</v>
      </c>
      <c r="M18" s="94">
        <v>85</v>
      </c>
      <c r="N18" s="21">
        <f>M18/272*100</f>
        <v>31.25</v>
      </c>
      <c r="O18" s="94">
        <v>69</v>
      </c>
      <c r="P18" s="23">
        <f>O18/272*100</f>
        <v>25.36764705882353</v>
      </c>
      <c r="Q18"/>
      <c r="R18"/>
    </row>
    <row r="19" spans="1:18" ht="15">
      <c r="A19" s="10"/>
      <c r="B19" s="101" t="s">
        <v>62</v>
      </c>
      <c r="C19" s="94">
        <v>22</v>
      </c>
      <c r="D19" s="23">
        <v>4.943820224719101</v>
      </c>
      <c r="E19" s="22">
        <v>1</v>
      </c>
      <c r="F19" s="21">
        <f>E19/C19*100</f>
        <v>4.545454545454546</v>
      </c>
      <c r="G19" s="94">
        <v>18</v>
      </c>
      <c r="H19" s="21">
        <f>G19/C19*100</f>
        <v>81.81818181818183</v>
      </c>
      <c r="I19" s="94">
        <v>2</v>
      </c>
      <c r="J19" s="21">
        <f>I19/C19*100</f>
        <v>9.090909090909092</v>
      </c>
      <c r="K19" s="95">
        <v>2</v>
      </c>
      <c r="L19" s="21">
        <f>K19/17*100</f>
        <v>11.76470588235294</v>
      </c>
      <c r="M19" s="94">
        <v>6</v>
      </c>
      <c r="N19" s="21">
        <f>M19/17*100</f>
        <v>35.294117647058826</v>
      </c>
      <c r="O19" s="94">
        <v>9</v>
      </c>
      <c r="P19" s="23">
        <f>O19/17*100</f>
        <v>52.94117647058824</v>
      </c>
      <c r="Q19"/>
      <c r="R19"/>
    </row>
    <row r="20" spans="1:16" s="32" customFormat="1" ht="17.25">
      <c r="A20" s="66" t="s">
        <v>68</v>
      </c>
      <c r="B20" s="36"/>
      <c r="C20" s="29"/>
      <c r="D20" s="31"/>
      <c r="E20" s="29">
        <v>0.568</v>
      </c>
      <c r="F20" s="29"/>
      <c r="G20" s="29">
        <v>0.645</v>
      </c>
      <c r="H20" s="29"/>
      <c r="I20" s="29">
        <v>0.098</v>
      </c>
      <c r="J20" s="30"/>
      <c r="K20" s="100">
        <v>0.018</v>
      </c>
      <c r="L20" s="29"/>
      <c r="M20" s="29">
        <v>0.502</v>
      </c>
      <c r="N20" s="29"/>
      <c r="O20" s="29">
        <v>0.079</v>
      </c>
      <c r="P20" s="31"/>
    </row>
    <row r="21" spans="1:18" ht="15">
      <c r="A21" s="54" t="s">
        <v>30</v>
      </c>
      <c r="B21" s="26"/>
      <c r="C21" s="18"/>
      <c r="D21" s="19"/>
      <c r="E21" s="18"/>
      <c r="F21" s="14"/>
      <c r="G21" s="18"/>
      <c r="H21" s="18"/>
      <c r="I21" s="18"/>
      <c r="J21" s="18"/>
      <c r="K21" s="37"/>
      <c r="L21" s="18"/>
      <c r="M21" s="18"/>
      <c r="N21" s="18"/>
      <c r="O21" s="18"/>
      <c r="P21" s="27"/>
      <c r="Q21"/>
      <c r="R21"/>
    </row>
    <row r="22" spans="1:18" ht="15">
      <c r="A22" s="90" t="s">
        <v>5</v>
      </c>
      <c r="B22" s="12" t="s">
        <v>31</v>
      </c>
      <c r="C22" s="12">
        <v>81</v>
      </c>
      <c r="D22" s="20">
        <v>17.23404255319149</v>
      </c>
      <c r="E22" s="17">
        <v>6</v>
      </c>
      <c r="F22" s="15">
        <f>E22/C22*100</f>
        <v>7.4074074074074066</v>
      </c>
      <c r="G22" s="12">
        <v>62</v>
      </c>
      <c r="H22" s="15">
        <f>G22/C22*100</f>
        <v>76.5432098765432</v>
      </c>
      <c r="I22" s="12">
        <v>3</v>
      </c>
      <c r="J22" s="15">
        <f>I22/C22*100</f>
        <v>3.7037037037037033</v>
      </c>
      <c r="K22" s="35">
        <v>19</v>
      </c>
      <c r="L22" s="15">
        <f>K22/58*100</f>
        <v>32.758620689655174</v>
      </c>
      <c r="M22" s="12">
        <v>20</v>
      </c>
      <c r="N22" s="15">
        <f>M22/58*100</f>
        <v>34.48275862068966</v>
      </c>
      <c r="O22" s="12">
        <v>19</v>
      </c>
      <c r="P22" s="20">
        <f>O22/58*100</f>
        <v>32.758620689655174</v>
      </c>
      <c r="Q22"/>
      <c r="R22"/>
    </row>
    <row r="23" spans="1:18" ht="15">
      <c r="A23" s="10"/>
      <c r="B23" s="94" t="s">
        <v>32</v>
      </c>
      <c r="C23" s="94">
        <v>389</v>
      </c>
      <c r="D23" s="23">
        <v>82.76595744680851</v>
      </c>
      <c r="E23" s="22">
        <v>35</v>
      </c>
      <c r="F23" s="21">
        <f>E23/C23*100</f>
        <v>8.997429305912597</v>
      </c>
      <c r="G23" s="94">
        <v>304</v>
      </c>
      <c r="H23" s="21">
        <f>G23/C23*100</f>
        <v>78.1491002570694</v>
      </c>
      <c r="I23" s="94">
        <v>13</v>
      </c>
      <c r="J23" s="21">
        <f>I23/C23*100</f>
        <v>3.3419023136246784</v>
      </c>
      <c r="K23" s="95">
        <v>122</v>
      </c>
      <c r="L23" s="21">
        <f>K23/296*100</f>
        <v>41.21621621621622</v>
      </c>
      <c r="M23" s="94">
        <v>95</v>
      </c>
      <c r="N23" s="21">
        <f>M23/296*100</f>
        <v>32.0945945945946</v>
      </c>
      <c r="O23" s="94">
        <v>79</v>
      </c>
      <c r="P23" s="23">
        <f>O23/296*100</f>
        <v>26.68918918918919</v>
      </c>
      <c r="Q23"/>
      <c r="R23"/>
    </row>
    <row r="24" spans="1:18" ht="15">
      <c r="A24" s="66" t="s">
        <v>48</v>
      </c>
      <c r="B24" s="38"/>
      <c r="C24" s="24"/>
      <c r="D24" s="25"/>
      <c r="E24" s="24">
        <v>0.889</v>
      </c>
      <c r="F24" s="24"/>
      <c r="G24" s="24">
        <v>0.751</v>
      </c>
      <c r="H24" s="24"/>
      <c r="I24" s="24">
        <v>0.87</v>
      </c>
      <c r="J24" s="24"/>
      <c r="K24" s="38">
        <v>0.274</v>
      </c>
      <c r="L24" s="24"/>
      <c r="M24" s="24">
        <v>0.603</v>
      </c>
      <c r="N24" s="24"/>
      <c r="O24" s="24">
        <v>0.303</v>
      </c>
      <c r="P24" s="25"/>
      <c r="Q24"/>
      <c r="R24"/>
    </row>
    <row r="25" spans="1:18" ht="15">
      <c r="A25" s="90" t="s">
        <v>2</v>
      </c>
      <c r="B25" s="12" t="s">
        <v>3</v>
      </c>
      <c r="C25" s="12">
        <v>285</v>
      </c>
      <c r="D25" s="20">
        <v>60.63829787234043</v>
      </c>
      <c r="E25" s="17">
        <v>21</v>
      </c>
      <c r="F25" s="15">
        <f>E25/C25*100</f>
        <v>7.368421052631578</v>
      </c>
      <c r="G25" s="12">
        <v>221</v>
      </c>
      <c r="H25" s="15">
        <f>G25/C25*100</f>
        <v>77.54385964912281</v>
      </c>
      <c r="I25" s="12">
        <v>8</v>
      </c>
      <c r="J25" s="15">
        <f>I25/C25*100</f>
        <v>2.807017543859649</v>
      </c>
      <c r="K25" s="35">
        <v>82</v>
      </c>
      <c r="L25" s="15">
        <f>K25/210*100</f>
        <v>39.04761904761905</v>
      </c>
      <c r="M25" s="12">
        <v>74</v>
      </c>
      <c r="N25" s="15">
        <f>M25/210*100</f>
        <v>35.23809523809524</v>
      </c>
      <c r="O25" s="12">
        <v>54</v>
      </c>
      <c r="P25" s="20">
        <f>O25/210*100</f>
        <v>25.71428571428571</v>
      </c>
      <c r="Q25"/>
      <c r="R25"/>
    </row>
    <row r="26" spans="1:18" ht="15">
      <c r="A26" s="11"/>
      <c r="B26" s="28" t="s">
        <v>4</v>
      </c>
      <c r="C26" s="94">
        <v>185</v>
      </c>
      <c r="D26" s="23">
        <v>39.361702127659576</v>
      </c>
      <c r="E26" s="94">
        <v>20</v>
      </c>
      <c r="F26" s="21">
        <f>E26/C26*100</f>
        <v>10.81081081081081</v>
      </c>
      <c r="G26" s="94">
        <v>145</v>
      </c>
      <c r="H26" s="21">
        <f>G26/C26*100</f>
        <v>78.37837837837837</v>
      </c>
      <c r="I26" s="94">
        <v>8</v>
      </c>
      <c r="J26" s="21">
        <f>I26/C26*100</f>
        <v>4.324324324324325</v>
      </c>
      <c r="K26" s="95">
        <v>59</v>
      </c>
      <c r="L26" s="21">
        <f>K26/144*100</f>
        <v>40.97222222222222</v>
      </c>
      <c r="M26" s="94">
        <v>41</v>
      </c>
      <c r="N26" s="21">
        <f>M26/144*100</f>
        <v>28.47222222222222</v>
      </c>
      <c r="O26" s="94">
        <v>44</v>
      </c>
      <c r="P26" s="23">
        <f>O26/144*100</f>
        <v>30.555555555555557</v>
      </c>
      <c r="Q26"/>
      <c r="R26"/>
    </row>
    <row r="27" spans="1:16" s="32" customFormat="1" ht="15">
      <c r="A27" s="66" t="s">
        <v>24</v>
      </c>
      <c r="B27" s="36"/>
      <c r="C27" s="29"/>
      <c r="D27" s="31"/>
      <c r="E27" s="29">
        <v>0.277</v>
      </c>
      <c r="F27" s="29"/>
      <c r="G27" s="29">
        <v>0.831</v>
      </c>
      <c r="H27" s="29"/>
      <c r="I27" s="29">
        <v>0.375</v>
      </c>
      <c r="J27" s="29"/>
      <c r="K27" s="36">
        <v>0.564</v>
      </c>
      <c r="L27" s="29"/>
      <c r="M27" s="29">
        <v>0.362</v>
      </c>
      <c r="N27" s="29"/>
      <c r="O27" s="29">
        <v>0.421</v>
      </c>
      <c r="P27" s="31"/>
    </row>
    <row r="28" spans="1:18" ht="15">
      <c r="A28" s="90" t="s">
        <v>16</v>
      </c>
      <c r="B28" s="12" t="s">
        <v>17</v>
      </c>
      <c r="C28" s="12">
        <v>210</v>
      </c>
      <c r="D28" s="20">
        <v>44.680851063829785</v>
      </c>
      <c r="E28" s="17">
        <v>22</v>
      </c>
      <c r="F28" s="15">
        <f>E28/C28*100</f>
        <v>10.476190476190476</v>
      </c>
      <c r="G28" s="12">
        <v>161</v>
      </c>
      <c r="H28" s="15">
        <f>G28/C28*100</f>
        <v>76.66666666666667</v>
      </c>
      <c r="I28" s="12">
        <v>7</v>
      </c>
      <c r="J28" s="15">
        <f>I28/C28*100</f>
        <v>3.3333333333333335</v>
      </c>
      <c r="K28" s="35">
        <v>59</v>
      </c>
      <c r="L28" s="15">
        <f>K28/155*100</f>
        <v>38.064516129032256</v>
      </c>
      <c r="M28" s="17">
        <v>48</v>
      </c>
      <c r="N28" s="15">
        <f>M28/155*100</f>
        <v>30.967741935483872</v>
      </c>
      <c r="O28" s="12">
        <v>48</v>
      </c>
      <c r="P28" s="20">
        <f>O28/155*100</f>
        <v>30.967741935483872</v>
      </c>
      <c r="Q28"/>
      <c r="R28"/>
    </row>
    <row r="29" spans="1:18" ht="15">
      <c r="A29" s="10"/>
      <c r="B29" s="94" t="s">
        <v>18</v>
      </c>
      <c r="C29" s="94">
        <v>260</v>
      </c>
      <c r="D29" s="23">
        <v>55.319148936170215</v>
      </c>
      <c r="E29" s="22">
        <v>19</v>
      </c>
      <c r="F29" s="21">
        <f>E29/C29*100</f>
        <v>7.307692307692308</v>
      </c>
      <c r="G29" s="94">
        <v>205</v>
      </c>
      <c r="H29" s="21">
        <f>G29/C29*100</f>
        <v>78.84615384615384</v>
      </c>
      <c r="I29" s="94">
        <v>9</v>
      </c>
      <c r="J29" s="21">
        <f>I29/C29*100</f>
        <v>3.4615384615384617</v>
      </c>
      <c r="K29" s="95">
        <v>82</v>
      </c>
      <c r="L29" s="21">
        <f>K29/199*100</f>
        <v>41.20603015075377</v>
      </c>
      <c r="M29" s="22">
        <v>67</v>
      </c>
      <c r="N29" s="21">
        <f>M29/199*100</f>
        <v>33.66834170854271</v>
      </c>
      <c r="O29" s="94">
        <v>50</v>
      </c>
      <c r="P29" s="23">
        <f>O29/199*100</f>
        <v>25.125628140703515</v>
      </c>
      <c r="Q29"/>
      <c r="R29"/>
    </row>
    <row r="30" spans="1:16" s="32" customFormat="1" ht="15">
      <c r="A30" s="66" t="s">
        <v>24</v>
      </c>
      <c r="B30" s="36"/>
      <c r="C30" s="29"/>
      <c r="D30" s="31"/>
      <c r="E30" s="29">
        <v>0.156</v>
      </c>
      <c r="F30" s="29"/>
      <c r="G30" s="29">
        <v>0.571</v>
      </c>
      <c r="H30" s="29"/>
      <c r="I30" s="29">
        <v>0.939</v>
      </c>
      <c r="J30" s="29"/>
      <c r="K30" s="36">
        <v>0.515</v>
      </c>
      <c r="L30" s="29"/>
      <c r="M30" s="29">
        <v>0.734</v>
      </c>
      <c r="N30" s="29"/>
      <c r="O30" s="29">
        <v>0.208</v>
      </c>
      <c r="P30" s="31" t="s">
        <v>39</v>
      </c>
    </row>
    <row r="31" spans="1:18" ht="15">
      <c r="A31" s="90" t="s">
        <v>58</v>
      </c>
      <c r="B31" s="12" t="s">
        <v>6</v>
      </c>
      <c r="C31" s="12">
        <v>123</v>
      </c>
      <c r="D31" s="20">
        <f>C31/469*100</f>
        <v>26.226012793176974</v>
      </c>
      <c r="E31" s="17">
        <v>12</v>
      </c>
      <c r="F31" s="15">
        <v>9.75609756097561</v>
      </c>
      <c r="G31" s="12">
        <v>98</v>
      </c>
      <c r="H31" s="15">
        <f>G31/C31*100</f>
        <v>79.67479674796748</v>
      </c>
      <c r="I31" s="12">
        <v>2</v>
      </c>
      <c r="J31" s="15">
        <f>I31/C31*100</f>
        <v>1.6260162601626018</v>
      </c>
      <c r="K31" s="35">
        <v>36</v>
      </c>
      <c r="L31" s="15">
        <f>K31/91*100</f>
        <v>39.56043956043956</v>
      </c>
      <c r="M31" s="12">
        <v>34</v>
      </c>
      <c r="N31" s="15">
        <f>M31/91*100</f>
        <v>37.362637362637365</v>
      </c>
      <c r="O31" s="12">
        <v>21</v>
      </c>
      <c r="P31" s="20">
        <f>O31/91*100</f>
        <v>23.076923076923077</v>
      </c>
      <c r="Q31"/>
      <c r="R31"/>
    </row>
    <row r="32" spans="1:18" ht="15">
      <c r="A32" s="10"/>
      <c r="B32" s="94" t="s">
        <v>7</v>
      </c>
      <c r="C32" s="94">
        <v>318</v>
      </c>
      <c r="D32" s="23">
        <f>C32/469*100</f>
        <v>67.80383795309169</v>
      </c>
      <c r="E32" s="22">
        <v>28</v>
      </c>
      <c r="F32" s="21">
        <v>8.80503144654088</v>
      </c>
      <c r="G32" s="94">
        <v>245</v>
      </c>
      <c r="H32" s="21">
        <f>G32/C32*100</f>
        <v>77.04402515723271</v>
      </c>
      <c r="I32" s="94">
        <v>14</v>
      </c>
      <c r="J32" s="21">
        <f>I32/C32*100</f>
        <v>4.40251572327044</v>
      </c>
      <c r="K32" s="95">
        <v>97</v>
      </c>
      <c r="L32" s="21">
        <f>K32/241*100</f>
        <v>40.24896265560166</v>
      </c>
      <c r="M32" s="94">
        <v>76</v>
      </c>
      <c r="N32" s="21">
        <f>M32/241*100</f>
        <v>31.535269709543567</v>
      </c>
      <c r="O32" s="94">
        <v>68</v>
      </c>
      <c r="P32" s="23">
        <f>O32/241*100</f>
        <v>28.21576763485477</v>
      </c>
      <c r="Q32"/>
      <c r="R32"/>
    </row>
    <row r="33" spans="1:18" ht="15">
      <c r="A33" s="10"/>
      <c r="B33" s="94" t="s">
        <v>33</v>
      </c>
      <c r="C33" s="94">
        <v>28</v>
      </c>
      <c r="D33" s="23">
        <f>C33/469*100</f>
        <v>5.970149253731343</v>
      </c>
      <c r="E33" s="22">
        <v>1</v>
      </c>
      <c r="F33" s="21">
        <v>3.571428571428571</v>
      </c>
      <c r="G33" s="94">
        <v>22</v>
      </c>
      <c r="H33" s="21">
        <f>G33/C33*100</f>
        <v>78.57142857142857</v>
      </c>
      <c r="I33" s="94">
        <v>0</v>
      </c>
      <c r="J33" s="21">
        <f>I33/C33*100</f>
        <v>0</v>
      </c>
      <c r="K33" s="95">
        <v>8</v>
      </c>
      <c r="L33" s="21">
        <f>K33/22*100</f>
        <v>36.36363636363637</v>
      </c>
      <c r="M33" s="94">
        <v>5</v>
      </c>
      <c r="N33" s="21">
        <f>M33/22*100</f>
        <v>22.727272727272727</v>
      </c>
      <c r="O33" s="94">
        <v>9</v>
      </c>
      <c r="P33" s="23">
        <f>O33/22*100</f>
        <v>40.909090909090914</v>
      </c>
      <c r="Q33"/>
      <c r="R33"/>
    </row>
    <row r="34" spans="1:16" s="32" customFormat="1" ht="15">
      <c r="A34" s="66" t="s">
        <v>48</v>
      </c>
      <c r="B34" s="36"/>
      <c r="C34" s="29"/>
      <c r="D34" s="31"/>
      <c r="E34" s="29">
        <v>0.363</v>
      </c>
      <c r="F34" s="29"/>
      <c r="G34" s="29">
        <v>0.707</v>
      </c>
      <c r="H34" s="29"/>
      <c r="I34" s="29">
        <v>0.567</v>
      </c>
      <c r="J34" s="29"/>
      <c r="K34" s="36">
        <v>0.922</v>
      </c>
      <c r="L34" s="29"/>
      <c r="M34" s="29">
        <v>0.148</v>
      </c>
      <c r="N34" s="29"/>
      <c r="O34" s="29">
        <v>0.066</v>
      </c>
      <c r="P34" s="31"/>
    </row>
    <row r="35" spans="1:18" ht="15">
      <c r="A35" s="90" t="s">
        <v>34</v>
      </c>
      <c r="B35" s="12" t="s">
        <v>35</v>
      </c>
      <c r="C35" s="12">
        <v>211</v>
      </c>
      <c r="D35" s="20">
        <v>45.085470085470085</v>
      </c>
      <c r="E35" s="17">
        <v>17</v>
      </c>
      <c r="F35" s="15">
        <f>E35/C35*100</f>
        <v>8.056872037914692</v>
      </c>
      <c r="G35" s="12">
        <v>172</v>
      </c>
      <c r="H35" s="15">
        <f>G35/C35*100</f>
        <v>81.51658767772511</v>
      </c>
      <c r="I35" s="12">
        <v>8</v>
      </c>
      <c r="J35" s="15">
        <f>I35/C35*100</f>
        <v>3.7914691943127963</v>
      </c>
      <c r="K35" s="35">
        <v>66</v>
      </c>
      <c r="L35" s="15">
        <f>K35/170*100</f>
        <v>38.82352941176471</v>
      </c>
      <c r="M35" s="12">
        <v>49</v>
      </c>
      <c r="N35" s="15">
        <f>M35/170*100</f>
        <v>28.823529411764703</v>
      </c>
      <c r="O35" s="12">
        <v>55</v>
      </c>
      <c r="P35" s="20">
        <f>O35/170*100</f>
        <v>32.35294117647059</v>
      </c>
      <c r="Q35"/>
      <c r="R35"/>
    </row>
    <row r="36" spans="1:18" ht="15">
      <c r="A36" s="10"/>
      <c r="B36" s="94" t="s">
        <v>36</v>
      </c>
      <c r="C36" s="94">
        <v>106</v>
      </c>
      <c r="D36" s="23">
        <v>22.64957264957265</v>
      </c>
      <c r="E36" s="22">
        <v>10</v>
      </c>
      <c r="F36" s="21">
        <f>E36/C36*100</f>
        <v>9.433962264150944</v>
      </c>
      <c r="G36" s="94">
        <v>82</v>
      </c>
      <c r="H36" s="21">
        <f>G36/C36*100</f>
        <v>77.35849056603774</v>
      </c>
      <c r="I36" s="94">
        <v>4</v>
      </c>
      <c r="J36" s="21">
        <f>I36/C36*100</f>
        <v>3.7735849056603774</v>
      </c>
      <c r="K36" s="95">
        <v>38</v>
      </c>
      <c r="L36" s="21">
        <f>K36/79*100</f>
        <v>48.10126582278481</v>
      </c>
      <c r="M36" s="94">
        <v>26</v>
      </c>
      <c r="N36" s="21">
        <f>M36/79*100</f>
        <v>32.91139240506329</v>
      </c>
      <c r="O36" s="94">
        <v>15</v>
      </c>
      <c r="P36" s="23">
        <f>O36/79*100</f>
        <v>18.9873417721519</v>
      </c>
      <c r="Q36"/>
      <c r="R36"/>
    </row>
    <row r="37" spans="1:18" ht="15">
      <c r="A37" s="10"/>
      <c r="B37" s="94" t="s">
        <v>37</v>
      </c>
      <c r="C37" s="94">
        <v>151</v>
      </c>
      <c r="D37" s="23">
        <v>32.26495726495727</v>
      </c>
      <c r="E37" s="22">
        <v>14</v>
      </c>
      <c r="F37" s="21">
        <f>E37/C37*100</f>
        <v>9.271523178807946</v>
      </c>
      <c r="G37" s="94">
        <v>110</v>
      </c>
      <c r="H37" s="21">
        <f>G37/C37*100</f>
        <v>72.84768211920529</v>
      </c>
      <c r="I37" s="94">
        <v>4</v>
      </c>
      <c r="J37" s="21">
        <f>I37/C37*100</f>
        <v>2.6490066225165565</v>
      </c>
      <c r="K37" s="95">
        <v>36</v>
      </c>
      <c r="L37" s="21">
        <f>K37/103*100</f>
        <v>34.95145631067961</v>
      </c>
      <c r="M37" s="94">
        <v>40</v>
      </c>
      <c r="N37" s="21">
        <f>M37/103*100</f>
        <v>38.83495145631068</v>
      </c>
      <c r="O37" s="94">
        <v>27</v>
      </c>
      <c r="P37" s="23">
        <f>O37/103*100</f>
        <v>26.21359223300971</v>
      </c>
      <c r="Q37"/>
      <c r="R37"/>
    </row>
    <row r="38" spans="1:16" s="32" customFormat="1" ht="15">
      <c r="A38" s="66" t="s">
        <v>48</v>
      </c>
      <c r="B38" s="36"/>
      <c r="C38" s="29"/>
      <c r="D38" s="31"/>
      <c r="E38" s="29">
        <v>0.706</v>
      </c>
      <c r="F38" s="29"/>
      <c r="G38" s="99">
        <v>0.05</v>
      </c>
      <c r="H38" s="29"/>
      <c r="I38" s="29">
        <v>0.569</v>
      </c>
      <c r="J38" s="29"/>
      <c r="K38" s="36">
        <v>0.649</v>
      </c>
      <c r="L38" s="29"/>
      <c r="M38" s="29">
        <v>0.114</v>
      </c>
      <c r="N38" s="29"/>
      <c r="O38" s="29">
        <v>0.192</v>
      </c>
      <c r="P38" s="31"/>
    </row>
    <row r="39" spans="1:18" ht="15">
      <c r="A39" s="90" t="s">
        <v>82</v>
      </c>
      <c r="B39" s="12" t="s">
        <v>18</v>
      </c>
      <c r="C39" s="12">
        <v>308</v>
      </c>
      <c r="D39" s="15">
        <v>65.53191489361701</v>
      </c>
      <c r="E39" s="113">
        <v>30</v>
      </c>
      <c r="F39" s="15">
        <f>E39/C39*100</f>
        <v>9.740259740259742</v>
      </c>
      <c r="G39" s="12">
        <v>234</v>
      </c>
      <c r="H39" s="15">
        <f>G39/C39*100</f>
        <v>75.97402597402598</v>
      </c>
      <c r="I39" s="12">
        <v>11</v>
      </c>
      <c r="J39" s="20">
        <f>I39/C39*100</f>
        <v>3.571428571428571</v>
      </c>
      <c r="K39" s="35">
        <v>93</v>
      </c>
      <c r="L39" s="15">
        <f>K39/228*100</f>
        <v>40.78947368421053</v>
      </c>
      <c r="M39" s="12">
        <v>78</v>
      </c>
      <c r="N39" s="15">
        <f>M39/228*100</f>
        <v>34.21052631578947</v>
      </c>
      <c r="O39" s="12">
        <v>57</v>
      </c>
      <c r="P39" s="20">
        <f>O39/228*100</f>
        <v>25</v>
      </c>
      <c r="Q39"/>
      <c r="R39"/>
    </row>
    <row r="40" spans="1:18" ht="17.25">
      <c r="A40" s="91" t="s">
        <v>83</v>
      </c>
      <c r="B40" s="94" t="s">
        <v>17</v>
      </c>
      <c r="C40" s="94">
        <v>12</v>
      </c>
      <c r="D40" s="21">
        <v>2.553191489361702</v>
      </c>
      <c r="E40" s="114">
        <v>1</v>
      </c>
      <c r="F40" s="21">
        <f>E40/C40*100</f>
        <v>8.333333333333332</v>
      </c>
      <c r="G40" s="101">
        <v>8</v>
      </c>
      <c r="H40" s="21">
        <f>G40/C40*100</f>
        <v>66.66666666666666</v>
      </c>
      <c r="I40" s="101">
        <v>0</v>
      </c>
      <c r="J40" s="23">
        <f>I40/C40*100</f>
        <v>0</v>
      </c>
      <c r="K40" s="95">
        <v>1</v>
      </c>
      <c r="L40" s="21">
        <f>K40/8*100</f>
        <v>12.5</v>
      </c>
      <c r="M40" s="101">
        <v>3</v>
      </c>
      <c r="N40" s="21">
        <f>M40/8*100</f>
        <v>37.5</v>
      </c>
      <c r="O40" s="101">
        <v>4</v>
      </c>
      <c r="P40" s="23">
        <f>O40/8*100</f>
        <v>50</v>
      </c>
      <c r="Q40"/>
      <c r="R40"/>
    </row>
    <row r="41" spans="1:16" s="32" customFormat="1" ht="15">
      <c r="A41" s="112" t="s">
        <v>24</v>
      </c>
      <c r="B41" s="33"/>
      <c r="C41" s="33"/>
      <c r="D41" s="33"/>
      <c r="E41" s="41">
        <v>0.467</v>
      </c>
      <c r="F41" s="33"/>
      <c r="G41" s="33">
        <v>0.461</v>
      </c>
      <c r="H41" s="33"/>
      <c r="I41" s="33">
        <v>0.505</v>
      </c>
      <c r="J41" s="40"/>
      <c r="K41" s="41">
        <v>0.107</v>
      </c>
      <c r="L41" s="33"/>
      <c r="M41" s="33">
        <v>0.857</v>
      </c>
      <c r="N41" s="33"/>
      <c r="O41" s="33">
        <v>0.143</v>
      </c>
      <c r="P41" s="110"/>
    </row>
    <row r="42" spans="1:16" s="111" customFormat="1" ht="17.25">
      <c r="A42" s="91" t="s">
        <v>85</v>
      </c>
      <c r="B42" s="101" t="s">
        <v>38</v>
      </c>
      <c r="C42" s="101">
        <v>150</v>
      </c>
      <c r="D42" s="21">
        <v>31.914893617021278</v>
      </c>
      <c r="E42" s="114">
        <v>10</v>
      </c>
      <c r="F42" s="21">
        <f>E42/C42*100</f>
        <v>6.666666666666667</v>
      </c>
      <c r="G42" s="101">
        <v>124</v>
      </c>
      <c r="H42" s="21">
        <f>G42/C42*100</f>
        <v>82.66666666666667</v>
      </c>
      <c r="I42" s="101">
        <v>5</v>
      </c>
      <c r="J42" s="23">
        <f>I42/C42*100</f>
        <v>3.3333333333333335</v>
      </c>
      <c r="K42" s="95">
        <v>47</v>
      </c>
      <c r="L42" s="21">
        <f>K42/118*100</f>
        <v>39.83050847457627</v>
      </c>
      <c r="M42" s="101">
        <v>34</v>
      </c>
      <c r="N42" s="21">
        <f>M42/118*100</f>
        <v>28.8135593220339</v>
      </c>
      <c r="O42" s="101">
        <v>37</v>
      </c>
      <c r="P42" s="23">
        <f>O42/118*100</f>
        <v>31.35593220338983</v>
      </c>
    </row>
    <row r="43" spans="1:18" ht="19.5" customHeight="1">
      <c r="A43" s="115" t="s">
        <v>84</v>
      </c>
      <c r="B43" s="29"/>
      <c r="C43" s="29"/>
      <c r="D43" s="29"/>
      <c r="E43" s="36">
        <v>0.118</v>
      </c>
      <c r="F43" s="29"/>
      <c r="G43" s="29">
        <v>0.104</v>
      </c>
      <c r="H43" s="29"/>
      <c r="I43" s="29">
        <v>0.896</v>
      </c>
      <c r="J43" s="31"/>
      <c r="K43" s="36">
        <v>0.908</v>
      </c>
      <c r="L43" s="29"/>
      <c r="M43" s="29">
        <v>0.338</v>
      </c>
      <c r="N43" s="29"/>
      <c r="O43" s="29">
        <v>0.492</v>
      </c>
      <c r="P43" s="31"/>
      <c r="Q43"/>
      <c r="R43"/>
    </row>
    <row r="44" spans="1:18" ht="15">
      <c r="A44" s="93" t="s">
        <v>42</v>
      </c>
      <c r="B44" s="42" t="s">
        <v>15</v>
      </c>
      <c r="C44" s="34">
        <v>137</v>
      </c>
      <c r="D44" s="45">
        <f>C44/451*100</f>
        <v>30.376940133037696</v>
      </c>
      <c r="E44" s="34">
        <v>10</v>
      </c>
      <c r="F44" s="15">
        <f>E44/C44*100</f>
        <v>7.2992700729927</v>
      </c>
      <c r="G44" s="22">
        <v>104</v>
      </c>
      <c r="H44" s="15">
        <f>G44/C44*100</f>
        <v>75.91240875912408</v>
      </c>
      <c r="I44" s="34">
        <v>1</v>
      </c>
      <c r="J44" s="15">
        <f>I44/C44*100</f>
        <v>0.7299270072992701</v>
      </c>
      <c r="K44" s="43">
        <v>40</v>
      </c>
      <c r="L44" s="15">
        <f>K44/94*100</f>
        <v>42.5531914893617</v>
      </c>
      <c r="M44" s="39">
        <v>27</v>
      </c>
      <c r="N44" s="15">
        <f>M44/94*100</f>
        <v>28.723404255319153</v>
      </c>
      <c r="O44" s="39">
        <v>27</v>
      </c>
      <c r="P44" s="44">
        <f>O44/94*100</f>
        <v>28.723404255319153</v>
      </c>
      <c r="Q44"/>
      <c r="R44"/>
    </row>
    <row r="45" spans="1:18" ht="15">
      <c r="A45" s="93" t="s">
        <v>59</v>
      </c>
      <c r="B45" s="42" t="s">
        <v>14</v>
      </c>
      <c r="C45" s="34">
        <v>189</v>
      </c>
      <c r="D45" s="45">
        <f>C45/451*100</f>
        <v>41.90687361419069</v>
      </c>
      <c r="E45" s="34">
        <v>20</v>
      </c>
      <c r="F45" s="21">
        <f>E45/C45*100</f>
        <v>10.582010582010582</v>
      </c>
      <c r="G45" s="22">
        <v>149</v>
      </c>
      <c r="H45" s="21">
        <f>G45/C45*100</f>
        <v>78.83597883597884</v>
      </c>
      <c r="I45" s="34">
        <v>7</v>
      </c>
      <c r="J45" s="21">
        <f>I45/C45*100</f>
        <v>3.7037037037037033</v>
      </c>
      <c r="K45" s="95">
        <v>57</v>
      </c>
      <c r="L45" s="21">
        <f>K45/147*100</f>
        <v>38.775510204081634</v>
      </c>
      <c r="M45" s="34">
        <v>50</v>
      </c>
      <c r="N45" s="21">
        <f>M45/147*100</f>
        <v>34.01360544217687</v>
      </c>
      <c r="O45" s="34">
        <v>40</v>
      </c>
      <c r="P45" s="45">
        <f>O45/147*100</f>
        <v>27.2108843537415</v>
      </c>
      <c r="Q45"/>
      <c r="R45"/>
    </row>
    <row r="46" spans="2:18" ht="15">
      <c r="B46" s="42" t="s">
        <v>13</v>
      </c>
      <c r="C46" s="34">
        <v>125</v>
      </c>
      <c r="D46" s="45">
        <f>C46/451*100</f>
        <v>27.716186252771617</v>
      </c>
      <c r="E46" s="34">
        <v>10</v>
      </c>
      <c r="F46" s="21">
        <f>E46/C46*100</f>
        <v>8</v>
      </c>
      <c r="G46" s="22">
        <v>98</v>
      </c>
      <c r="H46" s="21">
        <f>G46/C46*100</f>
        <v>78.4</v>
      </c>
      <c r="I46" s="34">
        <v>7</v>
      </c>
      <c r="J46" s="21">
        <f>I46/C46*100</f>
        <v>5.6000000000000005</v>
      </c>
      <c r="K46" s="95">
        <v>37</v>
      </c>
      <c r="L46" s="21">
        <f>K46/99*100</f>
        <v>37.37373737373738</v>
      </c>
      <c r="M46" s="34">
        <v>33</v>
      </c>
      <c r="N46" s="21">
        <f>M46/99*100</f>
        <v>33.33333333333333</v>
      </c>
      <c r="O46" s="34">
        <v>29</v>
      </c>
      <c r="P46" s="45">
        <f>O46/99*100</f>
        <v>29.292929292929294</v>
      </c>
      <c r="Q46"/>
      <c r="R46"/>
    </row>
    <row r="47" spans="1:16" s="32" customFormat="1" ht="15">
      <c r="A47" s="66" t="s">
        <v>48</v>
      </c>
      <c r="B47" s="36"/>
      <c r="C47" s="56"/>
      <c r="D47" s="96"/>
      <c r="E47" s="29">
        <v>0.29</v>
      </c>
      <c r="F47" s="57"/>
      <c r="G47" s="29">
        <v>0.48</v>
      </c>
      <c r="H47" s="57"/>
      <c r="I47" s="99">
        <v>0.02</v>
      </c>
      <c r="J47" s="57"/>
      <c r="K47" s="36">
        <v>0.55</v>
      </c>
      <c r="L47" s="57"/>
      <c r="M47" s="29">
        <v>0.53</v>
      </c>
      <c r="N47" s="56"/>
      <c r="O47" s="29">
        <v>0.87</v>
      </c>
      <c r="P47" s="58"/>
    </row>
    <row r="48" spans="1:17" s="32" customFormat="1" ht="15">
      <c r="A48" s="102" t="s">
        <v>60</v>
      </c>
      <c r="B48" s="42" t="s">
        <v>15</v>
      </c>
      <c r="C48" s="34">
        <v>132</v>
      </c>
      <c r="D48" s="45">
        <f>C48/450*100</f>
        <v>29.333333333333332</v>
      </c>
      <c r="E48" s="34">
        <v>15</v>
      </c>
      <c r="F48" s="15">
        <f>E48/C48*100</f>
        <v>11.363636363636363</v>
      </c>
      <c r="G48" s="34">
        <v>96</v>
      </c>
      <c r="H48" s="15">
        <f>G48/C48*100</f>
        <v>72.72727272727273</v>
      </c>
      <c r="I48" s="68">
        <v>5</v>
      </c>
      <c r="J48" s="15">
        <f>I48/C48*100</f>
        <v>3.787878787878788</v>
      </c>
      <c r="K48" s="87">
        <v>40</v>
      </c>
      <c r="L48" s="15">
        <f>K48/91*100</f>
        <v>43.956043956043956</v>
      </c>
      <c r="M48" s="34">
        <v>23</v>
      </c>
      <c r="N48" s="15">
        <f>M48/91*100</f>
        <v>25.274725274725274</v>
      </c>
      <c r="O48" s="34">
        <v>28</v>
      </c>
      <c r="P48" s="20">
        <f>O48/91*100</f>
        <v>30.76923076923077</v>
      </c>
      <c r="Q48"/>
    </row>
    <row r="49" spans="1:17" s="32" customFormat="1" ht="15">
      <c r="A49" s="102" t="s">
        <v>59</v>
      </c>
      <c r="B49" s="42" t="s">
        <v>14</v>
      </c>
      <c r="C49" s="34">
        <v>167</v>
      </c>
      <c r="D49" s="45">
        <f>C49/450*100</f>
        <v>37.111111111111114</v>
      </c>
      <c r="E49" s="34">
        <v>17</v>
      </c>
      <c r="F49" s="21">
        <f>E49/C49*100</f>
        <v>10.179640718562874</v>
      </c>
      <c r="G49" s="34">
        <v>133</v>
      </c>
      <c r="H49" s="21">
        <f>G49/C49*100</f>
        <v>79.64071856287424</v>
      </c>
      <c r="I49" s="68">
        <v>3</v>
      </c>
      <c r="J49" s="21">
        <f>I49/C49*100</f>
        <v>1.7964071856287425</v>
      </c>
      <c r="K49" s="87">
        <v>51</v>
      </c>
      <c r="L49" s="21">
        <f>K49/119*100</f>
        <v>42.857142857142854</v>
      </c>
      <c r="M49" s="34">
        <v>41</v>
      </c>
      <c r="N49" s="21">
        <f>M49/119*100</f>
        <v>34.45378151260504</v>
      </c>
      <c r="O49" s="34">
        <v>27</v>
      </c>
      <c r="P49" s="23">
        <f>O49/119*100</f>
        <v>22.689075630252102</v>
      </c>
      <c r="Q49"/>
    </row>
    <row r="50" spans="1:17" s="32" customFormat="1" ht="15">
      <c r="A50" s="78"/>
      <c r="B50" s="42" t="s">
        <v>13</v>
      </c>
      <c r="C50" s="34">
        <v>151</v>
      </c>
      <c r="D50" s="45">
        <f>C50/450*100</f>
        <v>33.55555555555556</v>
      </c>
      <c r="E50" s="34">
        <v>8</v>
      </c>
      <c r="F50" s="21">
        <f>E50/C50*100</f>
        <v>5.298013245033113</v>
      </c>
      <c r="G50" s="34">
        <v>121</v>
      </c>
      <c r="H50" s="21">
        <f>G50/C50*100</f>
        <v>80.13245033112582</v>
      </c>
      <c r="I50" s="68">
        <v>7</v>
      </c>
      <c r="J50" s="21">
        <f>I50/C50*100</f>
        <v>4.635761589403973</v>
      </c>
      <c r="K50" s="87">
        <v>38</v>
      </c>
      <c r="L50" s="21">
        <f>K50/117*100</f>
        <v>32.47863247863248</v>
      </c>
      <c r="M50" s="34">
        <v>41</v>
      </c>
      <c r="N50" s="21">
        <f>M50/117*100</f>
        <v>35.04273504273504</v>
      </c>
      <c r="O50" s="34">
        <v>38</v>
      </c>
      <c r="P50" s="23">
        <f>O50/117*100</f>
        <v>32.47863247863248</v>
      </c>
      <c r="Q50"/>
    </row>
    <row r="51" spans="1:16" s="32" customFormat="1" ht="15">
      <c r="A51" s="66" t="s">
        <v>48</v>
      </c>
      <c r="B51" s="41"/>
      <c r="C51" s="70"/>
      <c r="D51" s="97"/>
      <c r="E51" s="73">
        <v>0.09</v>
      </c>
      <c r="F51" s="71"/>
      <c r="G51" s="33">
        <v>0.14</v>
      </c>
      <c r="H51" s="71"/>
      <c r="I51" s="73">
        <v>0.65</v>
      </c>
      <c r="J51" s="71"/>
      <c r="K51" s="41">
        <v>0.11</v>
      </c>
      <c r="L51" s="71"/>
      <c r="M51" s="33">
        <v>0.12</v>
      </c>
      <c r="N51" s="70"/>
      <c r="O51" s="33">
        <v>0.6</v>
      </c>
      <c r="P51" s="72"/>
    </row>
    <row r="52" spans="1:18" s="32" customFormat="1" ht="15">
      <c r="A52" s="102" t="s">
        <v>77</v>
      </c>
      <c r="B52" s="103" t="s">
        <v>79</v>
      </c>
      <c r="C52" s="39">
        <v>120</v>
      </c>
      <c r="D52" s="44">
        <f>C52/466*100</f>
        <v>25.75107296137339</v>
      </c>
      <c r="E52" s="105">
        <v>10</v>
      </c>
      <c r="F52" s="106">
        <f>E52/120*100</f>
        <v>8.333333333333332</v>
      </c>
      <c r="G52" s="39">
        <v>96</v>
      </c>
      <c r="H52" s="106">
        <f>G52/120*100</f>
        <v>80</v>
      </c>
      <c r="I52" s="105">
        <v>7</v>
      </c>
      <c r="J52" s="106">
        <f>I52/C52*100</f>
        <v>5.833333333333333</v>
      </c>
      <c r="K52" s="43">
        <v>33</v>
      </c>
      <c r="L52" s="106">
        <f>K52/91*100</f>
        <v>36.26373626373626</v>
      </c>
      <c r="M52" s="39">
        <v>31</v>
      </c>
      <c r="N52" s="106">
        <f>M52/91*100</f>
        <v>34.065934065934066</v>
      </c>
      <c r="O52" s="39">
        <v>27</v>
      </c>
      <c r="P52" s="44">
        <f>O52/91*100</f>
        <v>29.67032967032967</v>
      </c>
      <c r="Q52" s="109"/>
      <c r="R52" s="108"/>
    </row>
    <row r="53" spans="1:18" s="32" customFormat="1" ht="15">
      <c r="A53" s="102" t="s">
        <v>78</v>
      </c>
      <c r="B53" s="104" t="s">
        <v>15</v>
      </c>
      <c r="C53" s="34">
        <v>145</v>
      </c>
      <c r="D53" s="45">
        <f>C53/466*100</f>
        <v>31.115879828326182</v>
      </c>
      <c r="E53" s="68">
        <v>19</v>
      </c>
      <c r="F53" s="107">
        <f>E53/145*100</f>
        <v>13.10344827586207</v>
      </c>
      <c r="G53" s="34">
        <v>110</v>
      </c>
      <c r="H53" s="107">
        <f>G53/145*100</f>
        <v>75.86206896551724</v>
      </c>
      <c r="I53" s="68">
        <v>3</v>
      </c>
      <c r="J53" s="45">
        <f>I53/C53*100</f>
        <v>2.0689655172413794</v>
      </c>
      <c r="K53" s="34">
        <v>41</v>
      </c>
      <c r="L53" s="107">
        <f>K53/106*100</f>
        <v>38.67924528301887</v>
      </c>
      <c r="M53" s="34">
        <v>33</v>
      </c>
      <c r="N53" s="107">
        <f>M53/106*100</f>
        <v>31.132075471698112</v>
      </c>
      <c r="O53" s="34">
        <v>32</v>
      </c>
      <c r="P53" s="45">
        <f>O53/106*100</f>
        <v>30.18867924528302</v>
      </c>
      <c r="Q53" s="109"/>
      <c r="R53" s="108"/>
    </row>
    <row r="54" spans="1:18" s="32" customFormat="1" ht="15">
      <c r="A54" s="78"/>
      <c r="B54" s="104" t="s">
        <v>14</v>
      </c>
      <c r="C54" s="34">
        <v>118</v>
      </c>
      <c r="D54" s="45">
        <f>C54/466*100</f>
        <v>25.321888412017167</v>
      </c>
      <c r="E54" s="68">
        <v>10</v>
      </c>
      <c r="F54" s="107">
        <f>E54/118*100</f>
        <v>8.47457627118644</v>
      </c>
      <c r="G54" s="34">
        <v>84</v>
      </c>
      <c r="H54" s="107">
        <f>G54/118*100</f>
        <v>71.1864406779661</v>
      </c>
      <c r="I54" s="68">
        <v>2</v>
      </c>
      <c r="J54" s="45">
        <f>I54/C54*100</f>
        <v>1.694915254237288</v>
      </c>
      <c r="K54" s="34">
        <v>31</v>
      </c>
      <c r="L54" s="107">
        <f>K54/74*100</f>
        <v>41.891891891891895</v>
      </c>
      <c r="M54" s="34">
        <v>25</v>
      </c>
      <c r="N54" s="107">
        <f>M54/74*100</f>
        <v>33.78378378378378</v>
      </c>
      <c r="O54" s="34">
        <v>18</v>
      </c>
      <c r="P54" s="45">
        <f>O54/74*100</f>
        <v>24.324324324324326</v>
      </c>
      <c r="Q54" s="109"/>
      <c r="R54" s="108"/>
    </row>
    <row r="55" spans="1:18" s="32" customFormat="1" ht="15">
      <c r="A55" s="78"/>
      <c r="B55" s="104" t="s">
        <v>13</v>
      </c>
      <c r="C55" s="34">
        <v>83</v>
      </c>
      <c r="D55" s="45">
        <f>C55/466*100</f>
        <v>17.811158798283262</v>
      </c>
      <c r="E55" s="68">
        <v>4</v>
      </c>
      <c r="F55" s="107">
        <f>E55/83*100</f>
        <v>4.819277108433735</v>
      </c>
      <c r="G55" s="34">
        <v>68</v>
      </c>
      <c r="H55" s="107">
        <f>G55/83*100</f>
        <v>81.92771084337349</v>
      </c>
      <c r="I55" s="68">
        <v>2</v>
      </c>
      <c r="J55" s="107">
        <f>I55/C55*100</f>
        <v>2.4096385542168677</v>
      </c>
      <c r="K55" s="87">
        <v>27</v>
      </c>
      <c r="L55" s="107">
        <f>K55/64*100</f>
        <v>42.1875</v>
      </c>
      <c r="M55" s="34">
        <v>18</v>
      </c>
      <c r="N55" s="107">
        <f>M55/64*100</f>
        <v>28.125</v>
      </c>
      <c r="O55" s="34">
        <v>19</v>
      </c>
      <c r="P55" s="45">
        <f>O55/64*100</f>
        <v>29.6875</v>
      </c>
      <c r="Q55" s="109"/>
      <c r="R55" s="108"/>
    </row>
    <row r="56" spans="1:16" s="32" customFormat="1" ht="15">
      <c r="A56" s="66" t="s">
        <v>48</v>
      </c>
      <c r="B56" s="41"/>
      <c r="C56" s="34"/>
      <c r="D56" s="45"/>
      <c r="E56" s="73">
        <v>0.26</v>
      </c>
      <c r="F56" s="71"/>
      <c r="G56" s="33">
        <v>0.84</v>
      </c>
      <c r="H56" s="71"/>
      <c r="I56" s="33">
        <v>0.13</v>
      </c>
      <c r="J56" s="71"/>
      <c r="K56" s="41">
        <v>0.5</v>
      </c>
      <c r="L56" s="71"/>
      <c r="M56" s="33">
        <v>0.45</v>
      </c>
      <c r="N56" s="70"/>
      <c r="O56" s="33">
        <v>0.64</v>
      </c>
      <c r="P56" s="72"/>
    </row>
    <row r="57" spans="1:16" s="32" customFormat="1" ht="15">
      <c r="A57" s="79" t="s">
        <v>54</v>
      </c>
      <c r="B57" s="80"/>
      <c r="C57" s="81"/>
      <c r="D57" s="82"/>
      <c r="E57" s="83"/>
      <c r="F57" s="84"/>
      <c r="G57" s="83"/>
      <c r="H57" s="84"/>
      <c r="I57" s="85"/>
      <c r="J57" s="84"/>
      <c r="K57" s="80"/>
      <c r="L57" s="84"/>
      <c r="M57" s="83"/>
      <c r="N57" s="81"/>
      <c r="O57" s="83"/>
      <c r="P57" s="86"/>
    </row>
    <row r="58" spans="1:17" s="32" customFormat="1" ht="15">
      <c r="A58" s="62" t="s">
        <v>40</v>
      </c>
      <c r="B58" s="75" t="s">
        <v>43</v>
      </c>
      <c r="C58" s="12">
        <v>271</v>
      </c>
      <c r="D58" s="20">
        <v>69.30946291560103</v>
      </c>
      <c r="E58" s="12">
        <v>22</v>
      </c>
      <c r="F58" s="15">
        <f>E58/C58*100</f>
        <v>8.118081180811808</v>
      </c>
      <c r="G58" s="12">
        <v>212</v>
      </c>
      <c r="H58" s="15">
        <f>G58/C58*100</f>
        <v>78.22878228782287</v>
      </c>
      <c r="I58" s="12">
        <v>8</v>
      </c>
      <c r="J58" s="15">
        <f>I58/C58*100</f>
        <v>2.952029520295203</v>
      </c>
      <c r="K58" s="35">
        <v>71</v>
      </c>
      <c r="L58" s="15">
        <f>K58/197*100</f>
        <v>36.04060913705584</v>
      </c>
      <c r="M58" s="12">
        <v>67</v>
      </c>
      <c r="N58" s="15">
        <f>M58/197*100</f>
        <v>34.01015228426396</v>
      </c>
      <c r="O58" s="12">
        <v>59</v>
      </c>
      <c r="P58" s="20">
        <f>O58/197*100</f>
        <v>29.949238578680205</v>
      </c>
      <c r="Q58"/>
    </row>
    <row r="59" spans="1:17" s="32" customFormat="1" ht="15">
      <c r="A59" s="55"/>
      <c r="B59" s="76" t="s">
        <v>44</v>
      </c>
      <c r="C59" s="94">
        <v>120</v>
      </c>
      <c r="D59" s="23">
        <v>30.69053708439898</v>
      </c>
      <c r="E59" s="94">
        <v>8</v>
      </c>
      <c r="F59" s="21">
        <f>E59/C59*100</f>
        <v>6.666666666666667</v>
      </c>
      <c r="G59" s="94">
        <v>97</v>
      </c>
      <c r="H59" s="21">
        <f>G59/C59*100</f>
        <v>80.83333333333333</v>
      </c>
      <c r="I59" s="94">
        <v>5</v>
      </c>
      <c r="J59" s="21">
        <f>I59/C59*100</f>
        <v>4.166666666666666</v>
      </c>
      <c r="K59" s="95">
        <v>40</v>
      </c>
      <c r="L59" s="21">
        <f>K59/100*100</f>
        <v>40</v>
      </c>
      <c r="M59" s="94">
        <v>35</v>
      </c>
      <c r="N59" s="21">
        <f>M59/100*100</f>
        <v>35</v>
      </c>
      <c r="O59" s="94">
        <v>25</v>
      </c>
      <c r="P59" s="23">
        <f>O59/100*100</f>
        <v>25</v>
      </c>
      <c r="Q59"/>
    </row>
    <row r="60" spans="1:16" s="32" customFormat="1" ht="15">
      <c r="A60" s="46" t="s">
        <v>0</v>
      </c>
      <c r="B60" s="74"/>
      <c r="C60" s="29"/>
      <c r="D60" s="31"/>
      <c r="E60" s="29">
        <v>0.712</v>
      </c>
      <c r="F60" s="29"/>
      <c r="G60" s="29">
        <v>0.56</v>
      </c>
      <c r="H60" s="29"/>
      <c r="I60" s="29">
        <v>0.54</v>
      </c>
      <c r="J60" s="29"/>
      <c r="K60" s="36">
        <v>0.48</v>
      </c>
      <c r="L60" s="29"/>
      <c r="M60" s="29">
        <v>0.93</v>
      </c>
      <c r="N60" s="29"/>
      <c r="O60" s="29">
        <v>0.63</v>
      </c>
      <c r="P60" s="31"/>
    </row>
    <row r="61" spans="1:17" s="92" customFormat="1" ht="15">
      <c r="A61" s="62" t="s">
        <v>41</v>
      </c>
      <c r="B61" s="35" t="s">
        <v>43</v>
      </c>
      <c r="C61" s="12">
        <v>346</v>
      </c>
      <c r="D61" s="20">
        <v>88.49104859335038</v>
      </c>
      <c r="E61" s="12">
        <v>26</v>
      </c>
      <c r="F61" s="15">
        <f>E61/C61*100</f>
        <v>7.514450867052023</v>
      </c>
      <c r="G61" s="12">
        <v>273</v>
      </c>
      <c r="H61" s="15">
        <f>G61/C61*100</f>
        <v>78.90173410404624</v>
      </c>
      <c r="I61" s="12">
        <v>10</v>
      </c>
      <c r="J61" s="15">
        <f>I61/C61*100</f>
        <v>2.8901734104046244</v>
      </c>
      <c r="K61" s="35">
        <v>93</v>
      </c>
      <c r="L61" s="15">
        <f>K61/260*100</f>
        <v>35.76923076923077</v>
      </c>
      <c r="M61" s="12">
        <v>92</v>
      </c>
      <c r="N61" s="15">
        <f>M61/260*100</f>
        <v>35.38461538461539</v>
      </c>
      <c r="O61" s="12">
        <v>75</v>
      </c>
      <c r="P61" s="20">
        <f>O61/260*100</f>
        <v>28.846153846153843</v>
      </c>
      <c r="Q61"/>
    </row>
    <row r="62" spans="1:17" s="92" customFormat="1" ht="15">
      <c r="A62" s="93"/>
      <c r="B62" s="95" t="s">
        <v>44</v>
      </c>
      <c r="C62" s="94">
        <v>45</v>
      </c>
      <c r="D62" s="23">
        <v>11.508951406649617</v>
      </c>
      <c r="E62" s="94">
        <v>4</v>
      </c>
      <c r="F62" s="21">
        <f>E62/C62*100</f>
        <v>8.88888888888889</v>
      </c>
      <c r="G62" s="94">
        <v>36</v>
      </c>
      <c r="H62" s="21">
        <f>G62/C62*100</f>
        <v>80</v>
      </c>
      <c r="I62" s="94">
        <v>3</v>
      </c>
      <c r="J62" s="21">
        <f>I62/C62*100</f>
        <v>6.666666666666667</v>
      </c>
      <c r="K62" s="95">
        <v>18</v>
      </c>
      <c r="L62" s="21">
        <f>K62/37*100</f>
        <v>48.64864864864865</v>
      </c>
      <c r="M62" s="94">
        <v>10</v>
      </c>
      <c r="N62" s="21">
        <f>M62/37*100</f>
        <v>27.027027027027028</v>
      </c>
      <c r="O62" s="94">
        <v>9</v>
      </c>
      <c r="P62" s="23">
        <f>O62/37*100</f>
        <v>24.324324324324326</v>
      </c>
      <c r="Q62"/>
    </row>
    <row r="63" spans="1:16" s="92" customFormat="1" ht="15">
      <c r="A63" s="29" t="s">
        <v>0</v>
      </c>
      <c r="B63" s="89"/>
      <c r="C63" s="29"/>
      <c r="D63" s="31"/>
      <c r="E63" s="29">
        <v>0.816</v>
      </c>
      <c r="F63" s="33"/>
      <c r="G63" s="29">
        <v>0.865</v>
      </c>
      <c r="H63" s="29"/>
      <c r="I63" s="29">
        <v>0.184</v>
      </c>
      <c r="J63" s="29"/>
      <c r="K63" s="36">
        <v>0.122</v>
      </c>
      <c r="L63" s="29"/>
      <c r="M63" s="29">
        <v>0.486</v>
      </c>
      <c r="N63" s="29"/>
      <c r="O63" s="29">
        <v>0.757</v>
      </c>
      <c r="P63" s="31"/>
    </row>
    <row r="64" spans="1:17" s="32" customFormat="1" ht="17.25">
      <c r="A64" s="62" t="s">
        <v>76</v>
      </c>
      <c r="B64" s="75" t="s">
        <v>43</v>
      </c>
      <c r="C64" s="12">
        <v>360</v>
      </c>
      <c r="D64" s="20">
        <v>92.07161125319693</v>
      </c>
      <c r="E64" s="12">
        <v>26</v>
      </c>
      <c r="F64" s="15">
        <f>E64/C64*100</f>
        <v>7.222222222222221</v>
      </c>
      <c r="G64" s="12">
        <v>286</v>
      </c>
      <c r="H64" s="15">
        <f>G64/C64*100</f>
        <v>79.44444444444444</v>
      </c>
      <c r="I64" s="12">
        <v>13</v>
      </c>
      <c r="J64" s="15">
        <f>I64/C64*100</f>
        <v>3.6111111111111107</v>
      </c>
      <c r="K64" s="35">
        <v>102</v>
      </c>
      <c r="L64" s="15">
        <f>K64/274*100</f>
        <v>37.22627737226277</v>
      </c>
      <c r="M64" s="12">
        <v>95</v>
      </c>
      <c r="N64" s="15">
        <f>M64/274*100</f>
        <v>34.67153284671533</v>
      </c>
      <c r="O64" s="12">
        <v>77</v>
      </c>
      <c r="P64" s="20">
        <f>O64/274*100</f>
        <v>28.102189781021895</v>
      </c>
      <c r="Q64"/>
    </row>
    <row r="65" spans="1:17" s="32" customFormat="1" ht="15">
      <c r="A65" s="55"/>
      <c r="B65" s="76" t="s">
        <v>44</v>
      </c>
      <c r="C65" s="94">
        <v>31</v>
      </c>
      <c r="D65" s="23">
        <v>7.928388746803069</v>
      </c>
      <c r="E65" s="94">
        <v>4</v>
      </c>
      <c r="F65" s="21">
        <f>E65/C65*100</f>
        <v>12.903225806451612</v>
      </c>
      <c r="G65" s="94">
        <v>23</v>
      </c>
      <c r="H65" s="21">
        <f>G65/C65*100</f>
        <v>74.19354838709677</v>
      </c>
      <c r="I65" s="94">
        <v>0</v>
      </c>
      <c r="J65" s="21">
        <f>I65/C65*100</f>
        <v>0</v>
      </c>
      <c r="K65" s="95">
        <v>9</v>
      </c>
      <c r="L65" s="21">
        <f>K65/23*100</f>
        <v>39.130434782608695</v>
      </c>
      <c r="M65" s="94">
        <v>7</v>
      </c>
      <c r="N65" s="21">
        <f>M65/23*100</f>
        <v>30.434782608695656</v>
      </c>
      <c r="O65" s="94">
        <v>7</v>
      </c>
      <c r="P65" s="23">
        <f>O65/23*100</f>
        <v>30.434782608695656</v>
      </c>
      <c r="Q65"/>
    </row>
    <row r="66" spans="1:16" s="32" customFormat="1" ht="15">
      <c r="A66" s="46" t="s">
        <v>0</v>
      </c>
      <c r="B66" s="77"/>
      <c r="C66" s="29"/>
      <c r="D66" s="31"/>
      <c r="E66" s="29">
        <v>0.272</v>
      </c>
      <c r="F66" s="29"/>
      <c r="G66" s="29">
        <v>0.491</v>
      </c>
      <c r="H66" s="29"/>
      <c r="I66" s="29">
        <v>0.282</v>
      </c>
      <c r="J66" s="29"/>
      <c r="K66" s="36">
        <v>0.903</v>
      </c>
      <c r="L66" s="29"/>
      <c r="M66" s="29">
        <v>0.65</v>
      </c>
      <c r="N66" s="29"/>
      <c r="O66" s="29">
        <v>0.85</v>
      </c>
      <c r="P66" s="31"/>
    </row>
    <row r="67" spans="1:18" ht="17.25">
      <c r="A67" s="1" t="s">
        <v>55</v>
      </c>
      <c r="B67" s="8"/>
      <c r="C67" s="8"/>
      <c r="D67" s="8"/>
      <c r="E67" s="9"/>
      <c r="F67" s="9"/>
      <c r="Q67"/>
      <c r="R67"/>
    </row>
    <row r="68" spans="1:18" ht="17.25">
      <c r="A68" t="s">
        <v>65</v>
      </c>
      <c r="F68" s="9"/>
      <c r="Q68"/>
      <c r="R68"/>
    </row>
    <row r="69" spans="1:18" ht="17.25">
      <c r="A69" t="s">
        <v>67</v>
      </c>
      <c r="D69" s="13"/>
      <c r="E69" s="9"/>
      <c r="F69" s="9"/>
      <c r="K69" s="16"/>
      <c r="M69" s="16"/>
      <c r="O69" s="16"/>
      <c r="Q69"/>
      <c r="R69"/>
    </row>
    <row r="70" spans="1:18" ht="17.25">
      <c r="A70" t="s">
        <v>69</v>
      </c>
      <c r="D70" s="13"/>
      <c r="E70" s="9"/>
      <c r="F70" s="9"/>
      <c r="Q70"/>
      <c r="R70"/>
    </row>
    <row r="71" spans="1:18" ht="17.25">
      <c r="A71" t="s">
        <v>73</v>
      </c>
      <c r="E71" s="9"/>
      <c r="F71" s="9"/>
      <c r="P71" s="9" t="s">
        <v>39</v>
      </c>
      <c r="Q71"/>
      <c r="R71"/>
    </row>
    <row r="72" spans="1:5" ht="17.25">
      <c r="A72" t="s">
        <v>74</v>
      </c>
      <c r="E72" s="9"/>
    </row>
    <row r="73" ht="17.25">
      <c r="A73" t="s">
        <v>75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LeeM</cp:lastModifiedBy>
  <cp:lastPrinted>2011-03-30T20:43:52Z</cp:lastPrinted>
  <dcterms:created xsi:type="dcterms:W3CDTF">2009-08-19T20:25:46Z</dcterms:created>
  <dcterms:modified xsi:type="dcterms:W3CDTF">2011-03-30T20:44:27Z</dcterms:modified>
  <cp:category/>
  <cp:version/>
  <cp:contentType/>
  <cp:contentStatus/>
</cp:coreProperties>
</file>