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<sst xmlns="http://schemas.openxmlformats.org/spreadsheetml/2006/main" count="1141" uniqueCount="1096">
  <si>
    <t>Index</t>
  </si>
  <si>
    <t>Gene</t>
  </si>
  <si>
    <t>imageSeriesID</t>
  </si>
  <si>
    <t>Gene Name</t>
  </si>
  <si>
    <t>NCBI ID</t>
  </si>
  <si>
    <t>URL</t>
  </si>
  <si>
    <t>Thumbs URL</t>
  </si>
  <si>
    <t>'Pgrmc1</t>
  </si>
  <si>
    <t>'797</t>
  </si>
  <si>
    <t>progesterone receptor membrane component 1</t>
  </si>
  <si>
    <t>'Slc25a37</t>
  </si>
  <si>
    <t>'68445000</t>
  </si>
  <si>
    <t>solute carrier family 25, member 37</t>
  </si>
  <si>
    <t>'Pcp2</t>
  </si>
  <si>
    <t>'77413702</t>
  </si>
  <si>
    <t>Purkinje cell protein 2 (L7)</t>
  </si>
  <si>
    <t>'Galr1</t>
  </si>
  <si>
    <t>'80514053</t>
  </si>
  <si>
    <t>galanin receptor 1</t>
  </si>
  <si>
    <t>'1700054O13Rik</t>
  </si>
  <si>
    <t>'69117086</t>
  </si>
  <si>
    <t>RIKEN cDNA 1700054O13 gene</t>
  </si>
  <si>
    <t>'Gm114</t>
  </si>
  <si>
    <t>'70295882</t>
  </si>
  <si>
    <t>gene model 114, (NCBI)</t>
  </si>
  <si>
    <t>'Alpk3</t>
  </si>
  <si>
    <t>'71574473</t>
  </si>
  <si>
    <t>alpha-kinase 3</t>
  </si>
  <si>
    <t>'Lrrn6c</t>
  </si>
  <si>
    <t>'72128919</t>
  </si>
  <si>
    <t>leucine rich repeat neuronal 6C</t>
  </si>
  <si>
    <t>'Gm47</t>
  </si>
  <si>
    <t>'70565879</t>
  </si>
  <si>
    <t>gene model 47, (NCBI)</t>
  </si>
  <si>
    <t>'Cpne5</t>
  </si>
  <si>
    <t>'544709</t>
  </si>
  <si>
    <t>copine V</t>
  </si>
  <si>
    <t>'Nmbr</t>
  </si>
  <si>
    <t>'77332086</t>
  </si>
  <si>
    <t>neuromedin B receptor</t>
  </si>
  <si>
    <t>'Trim52</t>
  </si>
  <si>
    <t>'70205626</t>
  </si>
  <si>
    <t>tripartite motif-containing 52</t>
  </si>
  <si>
    <t>'AI427122</t>
  </si>
  <si>
    <t>'71495698</t>
  </si>
  <si>
    <t>expressed sequence AI427122</t>
  </si>
  <si>
    <t>'Slc44a4</t>
  </si>
  <si>
    <t>'68321886</t>
  </si>
  <si>
    <t>solute carrier family 44, member 4</t>
  </si>
  <si>
    <t>'Nrp2</t>
  </si>
  <si>
    <t>'80514091</t>
  </si>
  <si>
    <t>neuropilin 2</t>
  </si>
  <si>
    <t>'Anxa3</t>
  </si>
  <si>
    <t>'69526665</t>
  </si>
  <si>
    <t>annexin A3</t>
  </si>
  <si>
    <t>'A930033C23Rik*</t>
  </si>
  <si>
    <t>'74300717</t>
  </si>
  <si>
    <t>RIKEN cDNA A930033C23 gene (non-RefSeq)</t>
  </si>
  <si>
    <t>null</t>
  </si>
  <si>
    <t>'Tac2</t>
  </si>
  <si>
    <t>'77279001</t>
  </si>
  <si>
    <t>tachykinin 2</t>
  </si>
  <si>
    <t>'C1qtnf9</t>
  </si>
  <si>
    <t>'70228041</t>
  </si>
  <si>
    <t>C1q and tumor necrosis factor related protein 9</t>
  </si>
  <si>
    <t>'Kirrel1</t>
  </si>
  <si>
    <t>'71613657</t>
  </si>
  <si>
    <t>kin of IRRE like 1 (Drosophila)</t>
  </si>
  <si>
    <t>'Rxfp3</t>
  </si>
  <si>
    <t>'80342202</t>
  </si>
  <si>
    <t>relaxin family peptide receptor 3</t>
  </si>
  <si>
    <t>'Vamp2</t>
  </si>
  <si>
    <t>'1093</t>
  </si>
  <si>
    <t>vesicle-associated membrane protein 2</t>
  </si>
  <si>
    <t>'Rgs9</t>
  </si>
  <si>
    <t>'73521819</t>
  </si>
  <si>
    <t>regulator of G-protein signaling 9</t>
  </si>
  <si>
    <t>'LOC218695</t>
  </si>
  <si>
    <t>'70725001</t>
  </si>
  <si>
    <t>similar to spermatogenic cell-specific gene 2</t>
  </si>
  <si>
    <t>'Ttn</t>
  </si>
  <si>
    <t>'74047746</t>
  </si>
  <si>
    <t>titin</t>
  </si>
  <si>
    <t>'Rasgef1b</t>
  </si>
  <si>
    <t>'71358553</t>
  </si>
  <si>
    <t>RasGEF domain family, member 1B</t>
  </si>
  <si>
    <t>'Ednrb</t>
  </si>
  <si>
    <t>'70431307</t>
  </si>
  <si>
    <t>endothelin receptor type B</t>
  </si>
  <si>
    <t>'Gpc3</t>
  </si>
  <si>
    <t>'71020431</t>
  </si>
  <si>
    <t>glypican 3</t>
  </si>
  <si>
    <t>'Lix1</t>
  </si>
  <si>
    <t>'643</t>
  </si>
  <si>
    <t>limb expression 1 homolog (chicken)</t>
  </si>
  <si>
    <t>'Tcn2</t>
  </si>
  <si>
    <t>'71924389</t>
  </si>
  <si>
    <t>transcobalamin 2</t>
  </si>
  <si>
    <t>'Slc25a20</t>
  </si>
  <si>
    <t>'68638005</t>
  </si>
  <si>
    <t>solute carrier family 25 (mitochondrial carnitine/acylcarnitine translocase), member 20</t>
  </si>
  <si>
    <t>'4930517K23Rik</t>
  </si>
  <si>
    <t>'69114168</t>
  </si>
  <si>
    <t>RIKEN cDNA 4930517K23 gene</t>
  </si>
  <si>
    <t>'Mybpc3</t>
  </si>
  <si>
    <t>'77455149</t>
  </si>
  <si>
    <t>myosin binding protein C, cardiac</t>
  </si>
  <si>
    <t>'Gpr125</t>
  </si>
  <si>
    <t>'74988700</t>
  </si>
  <si>
    <t>G protein-coupled receptor 125</t>
  </si>
  <si>
    <t>'Stk16</t>
  </si>
  <si>
    <t>'68080710</t>
  </si>
  <si>
    <t>serine/threonine kinase 16</t>
  </si>
  <si>
    <t>'Rgs3</t>
  </si>
  <si>
    <t>'1822</t>
  </si>
  <si>
    <t>regulator of G-protein signaling 3</t>
  </si>
  <si>
    <t>'Gng2</t>
  </si>
  <si>
    <t>'77414160</t>
  </si>
  <si>
    <t>guanine nucleotide binding protein (G protein), gamma 2 subunit</t>
  </si>
  <si>
    <t>'ORF9</t>
  </si>
  <si>
    <t>'74580865</t>
  </si>
  <si>
    <t>open reading frame 9</t>
  </si>
  <si>
    <t>'Npc1</t>
  </si>
  <si>
    <t>'71234644</t>
  </si>
  <si>
    <t>Niemann Pick type C1</t>
  </si>
  <si>
    <t>'4921515J06Rik</t>
  </si>
  <si>
    <t>'69407821</t>
  </si>
  <si>
    <t>RIKEN cDNA 4921515J06 gene</t>
  </si>
  <si>
    <t>'AU019823</t>
  </si>
  <si>
    <t>'77465050</t>
  </si>
  <si>
    <t>expressed sequence AU019823</t>
  </si>
  <si>
    <t>'Ptprr</t>
  </si>
  <si>
    <t>'74882784</t>
  </si>
  <si>
    <t>protein tyrosine phosphatase, receptor type, R</t>
  </si>
  <si>
    <t>'Gm597</t>
  </si>
  <si>
    <t>'70295620</t>
  </si>
  <si>
    <t>gene model 597, (NCBI)</t>
  </si>
  <si>
    <t>'Trhr</t>
  </si>
  <si>
    <t>'79913245</t>
  </si>
  <si>
    <t>thyrotropin releasing hormone receptor</t>
  </si>
  <si>
    <t>'Ephb1</t>
  </si>
  <si>
    <t>'79677367</t>
  </si>
  <si>
    <t>Eph receptor B1</t>
  </si>
  <si>
    <t>'Lcn8</t>
  </si>
  <si>
    <t>'69114492</t>
  </si>
  <si>
    <t>lipocalin 8</t>
  </si>
  <si>
    <t>'Pde11a</t>
  </si>
  <si>
    <t>'75081007</t>
  </si>
  <si>
    <t>phosphodiesterase 11A</t>
  </si>
  <si>
    <t>'Stk24</t>
  </si>
  <si>
    <t>'73635773</t>
  </si>
  <si>
    <t>serine/threonine kinase 24 (STE20 homolog, yeast)</t>
  </si>
  <si>
    <t>'Nedd9</t>
  </si>
  <si>
    <t>'77790732</t>
  </si>
  <si>
    <t>neural precursor cell expressed, developmentally down-regulated gene 9</t>
  </si>
  <si>
    <t>'A130014H13Rik</t>
  </si>
  <si>
    <t>'75041574</t>
  </si>
  <si>
    <t>RIKEN cDNA A130014H13 gene</t>
  </si>
  <si>
    <t>'Lrrc8d</t>
  </si>
  <si>
    <t>'385997</t>
  </si>
  <si>
    <t>leucine rich repeat containing 8D</t>
  </si>
  <si>
    <t>'C030019F02Rik</t>
  </si>
  <si>
    <t>'1474</t>
  </si>
  <si>
    <t>RIKEN cDNA C030019F02 gene</t>
  </si>
  <si>
    <t>'Dsp</t>
  </si>
  <si>
    <t>'76097696</t>
  </si>
  <si>
    <t>desmoplakin</t>
  </si>
  <si>
    <t>'C030014K22Rik</t>
  </si>
  <si>
    <t>'72472750</t>
  </si>
  <si>
    <t>RIKEN cDNA C030014K22 gene</t>
  </si>
  <si>
    <t>'A830031A19Rik</t>
  </si>
  <si>
    <t>'74277746</t>
  </si>
  <si>
    <t>RIKEN cDNA A830031A19 gene</t>
  </si>
  <si>
    <t>'Dio3</t>
  </si>
  <si>
    <t>'70238866</t>
  </si>
  <si>
    <t>deiodinase, iodothyronine type III</t>
  </si>
  <si>
    <t>'D330027H18Rik</t>
  </si>
  <si>
    <t>'74822583</t>
  </si>
  <si>
    <t>RIKEN cDNA D330027H18 gene</t>
  </si>
  <si>
    <t>'Zfp719</t>
  </si>
  <si>
    <t>'71021028</t>
  </si>
  <si>
    <t>zinc finger protein 719</t>
  </si>
  <si>
    <t>'1304</t>
  </si>
  <si>
    <t>'Pcdh7</t>
  </si>
  <si>
    <t>'69782790</t>
  </si>
  <si>
    <t>protocadherin 7</t>
  </si>
  <si>
    <t>'L1cam</t>
  </si>
  <si>
    <t>'80342072</t>
  </si>
  <si>
    <t>L1 cell adhesion molecule</t>
  </si>
  <si>
    <t>'Parp16</t>
  </si>
  <si>
    <t>'69014872</t>
  </si>
  <si>
    <t>poly (ADP-ribose) polymerase family, member 16</t>
  </si>
  <si>
    <t>'Pdlim3</t>
  </si>
  <si>
    <t>'69782951</t>
  </si>
  <si>
    <t>PDZ and LIM domain 3</t>
  </si>
  <si>
    <t>'mCG140156</t>
  </si>
  <si>
    <t>'71211464</t>
  </si>
  <si>
    <t>AB mCG140156</t>
  </si>
  <si>
    <t>'Fhad1</t>
  </si>
  <si>
    <t>'68546125</t>
  </si>
  <si>
    <t>forkhead-associated (FHA) phosphopeptide binding domain 1</t>
  </si>
  <si>
    <t>'Svil</t>
  </si>
  <si>
    <t>'77332748</t>
  </si>
  <si>
    <t>supervillin</t>
  </si>
  <si>
    <t>'5730410I19Rik</t>
  </si>
  <si>
    <t>'69443469</t>
  </si>
  <si>
    <t>RIKEN cDNA 5730410I19 gene</t>
  </si>
  <si>
    <t>'Depdc6</t>
  </si>
  <si>
    <t>'76135830</t>
  </si>
  <si>
    <t>DEP domain containing 6</t>
  </si>
  <si>
    <t>'Lhx2</t>
  </si>
  <si>
    <t>'79568024</t>
  </si>
  <si>
    <t>LIM homeobox protein 2</t>
  </si>
  <si>
    <t>'Vav2</t>
  </si>
  <si>
    <t>'68911010</t>
  </si>
  <si>
    <t>Vav2 oncogene</t>
  </si>
  <si>
    <t>'5430425J12Rik</t>
  </si>
  <si>
    <t>'74580781</t>
  </si>
  <si>
    <t>RIKEN cDNA 5430425J12 gene</t>
  </si>
  <si>
    <t>'Ankra2</t>
  </si>
  <si>
    <t>'75985901</t>
  </si>
  <si>
    <t>ankyrin repeat, family A (RFXANK-like), 2</t>
  </si>
  <si>
    <t>'Stra6</t>
  </si>
  <si>
    <t>'75041492</t>
  </si>
  <si>
    <t>stimulated by retinoic acid gene 6</t>
  </si>
  <si>
    <t>'Htr1b</t>
  </si>
  <si>
    <t>'584</t>
  </si>
  <si>
    <t>5-hydroxytryptamine (serotonin) receptor 1B</t>
  </si>
  <si>
    <t>'Btg3</t>
  </si>
  <si>
    <t>'168</t>
  </si>
  <si>
    <t>B-cell translocation gene 3</t>
  </si>
  <si>
    <t>'Epha8</t>
  </si>
  <si>
    <t>'69672090</t>
  </si>
  <si>
    <t>Eph receptor A8</t>
  </si>
  <si>
    <t>'Rabgap1l</t>
  </si>
  <si>
    <t>'77910828</t>
  </si>
  <si>
    <t>RAB GTPase activating protein 1-like</t>
  </si>
  <si>
    <t>'Slco4c1</t>
  </si>
  <si>
    <t>'69874102</t>
  </si>
  <si>
    <t>solute carrier organic anion transporter family, member 4C1</t>
  </si>
  <si>
    <t>'Ccbp2</t>
  </si>
  <si>
    <t>'69236987</t>
  </si>
  <si>
    <t>chemokine binding protein 2</t>
  </si>
  <si>
    <t>'Olfr639</t>
  </si>
  <si>
    <t>'74734764</t>
  </si>
  <si>
    <t>olfactory receptor 639</t>
  </si>
  <si>
    <t>'2610019F03Rik</t>
  </si>
  <si>
    <t>'74724511</t>
  </si>
  <si>
    <t>RIKEN cDNA 2610019F03 gene</t>
  </si>
  <si>
    <t>'Fhl1</t>
  </si>
  <si>
    <t>'2218</t>
  </si>
  <si>
    <t>four and a half LIM domains 1</t>
  </si>
  <si>
    <t>'Dclre1c</t>
  </si>
  <si>
    <t>'70946403</t>
  </si>
  <si>
    <t>DNA cross-link repair 1C, PSO2 homolog (S. cerevisiae)</t>
  </si>
  <si>
    <t>'Chrm3</t>
  </si>
  <si>
    <t>'2095</t>
  </si>
  <si>
    <t>cholinergic receptor, muscarinic 3, cardiac</t>
  </si>
  <si>
    <t>'Tcte3</t>
  </si>
  <si>
    <t>'69174499</t>
  </si>
  <si>
    <t>t-complex-associated testis expressed 3</t>
  </si>
  <si>
    <t>'Cmtm4</t>
  </si>
  <si>
    <t>'2101</t>
  </si>
  <si>
    <t>CKLF-like MARVEL transmembrane domain containing 4</t>
  </si>
  <si>
    <t>'Grid2</t>
  </si>
  <si>
    <t>'69257713</t>
  </si>
  <si>
    <t>glutamate receptor, ionotropic, delta 2</t>
  </si>
  <si>
    <t>'Hdac5</t>
  </si>
  <si>
    <t>'69734965</t>
  </si>
  <si>
    <t>histone deacetylase 5</t>
  </si>
  <si>
    <t>'Cdh7</t>
  </si>
  <si>
    <t>'69540683</t>
  </si>
  <si>
    <t>cadherin 7, type 2</t>
  </si>
  <si>
    <t>'Grik5</t>
  </si>
  <si>
    <t>'70919023</t>
  </si>
  <si>
    <t>glutamate receptor, ionotropic, kainate 5 (gamma 2)</t>
  </si>
  <si>
    <t>'Ntrk1</t>
  </si>
  <si>
    <t>'69782449</t>
  </si>
  <si>
    <t>neurotrophic tyrosine kinase, receptor, type 1</t>
  </si>
  <si>
    <t>'Ets2</t>
  </si>
  <si>
    <t>'79904406</t>
  </si>
  <si>
    <t>E26 avian leukemia oncogene 2, 3' domain</t>
  </si>
  <si>
    <t>'1810007E14Rik</t>
  </si>
  <si>
    <t>'68666726</t>
  </si>
  <si>
    <t>RIKEN cDNA 1810007E14 gene</t>
  </si>
  <si>
    <t>'Cdan1</t>
  </si>
  <si>
    <t>'69540641</t>
  </si>
  <si>
    <t>congenital dyserythropoietic anemia, type I (human)</t>
  </si>
  <si>
    <t>'Thsd4</t>
  </si>
  <si>
    <t>'69527776</t>
  </si>
  <si>
    <t>thrombospondin, type I, domain containing 4</t>
  </si>
  <si>
    <t>'9130401M01Rik</t>
  </si>
  <si>
    <t>'70717374</t>
  </si>
  <si>
    <t>RIKEN cDNA 9130401M01 gene</t>
  </si>
  <si>
    <t>'Fancc</t>
  </si>
  <si>
    <t>'68162253</t>
  </si>
  <si>
    <t>Fanconi anemia, complementation group C</t>
  </si>
  <si>
    <t>'Gpr110</t>
  </si>
  <si>
    <t>'79632204</t>
  </si>
  <si>
    <t>G protein-coupled receptor 110</t>
  </si>
  <si>
    <t>'Fabp4</t>
  </si>
  <si>
    <t>'74821969</t>
  </si>
  <si>
    <t>fatty acid binding protein 4, adipocyte</t>
  </si>
  <si>
    <t>'BC004044</t>
  </si>
  <si>
    <t>'71789051</t>
  </si>
  <si>
    <t>cDNA sequence BC004044</t>
  </si>
  <si>
    <t>'Epha7</t>
  </si>
  <si>
    <t>'402</t>
  </si>
  <si>
    <t>Eph receptor A7</t>
  </si>
  <si>
    <t>'69173280</t>
  </si>
  <si>
    <t>'ORF34</t>
  </si>
  <si>
    <t>'74581430</t>
  </si>
  <si>
    <t>open reading frame 34</t>
  </si>
  <si>
    <t>'Gramd3</t>
  </si>
  <si>
    <t>'70919967</t>
  </si>
  <si>
    <t>GRAM domain containing 3</t>
  </si>
  <si>
    <t>'A930017N06Rik</t>
  </si>
  <si>
    <t>'77791978</t>
  </si>
  <si>
    <t>RIKEN cDNA A930017N06 gene</t>
  </si>
  <si>
    <t>'Reep4</t>
  </si>
  <si>
    <t>'68744761</t>
  </si>
  <si>
    <t>receptor accessory protein 4</t>
  </si>
  <si>
    <t>'Unc13d</t>
  </si>
  <si>
    <t>'69838393</t>
  </si>
  <si>
    <t>unc-13 homolog D (C. elegans)</t>
  </si>
  <si>
    <t>'B230220E17Rik</t>
  </si>
  <si>
    <t>'70611407</t>
  </si>
  <si>
    <t>RIKEN cDNA B230220E17 gene</t>
  </si>
  <si>
    <t>'Tpx2</t>
  </si>
  <si>
    <t>'70192015</t>
  </si>
  <si>
    <t>TPX2, microtubule-associated protein homolog (Xenopus laevis)</t>
  </si>
  <si>
    <t>'Ctns</t>
  </si>
  <si>
    <t>'275689</t>
  </si>
  <si>
    <t>cystinosis, nephropathic</t>
  </si>
  <si>
    <t>'79912556</t>
  </si>
  <si>
    <t>'Notch3</t>
  </si>
  <si>
    <t>'1789</t>
  </si>
  <si>
    <t>Notch gene homolog 3 (Drosophila)</t>
  </si>
  <si>
    <t>'A630094N22Rik*</t>
  </si>
  <si>
    <t>'73906319</t>
  </si>
  <si>
    <t>RIKEN cDNA A630094N22 gene (non-RefSeq)</t>
  </si>
  <si>
    <t>'Nrp1</t>
  </si>
  <si>
    <t>'79913171</t>
  </si>
  <si>
    <t>neuropilin 1</t>
  </si>
  <si>
    <t>'A830073O21Rik</t>
  </si>
  <si>
    <t>'67815960</t>
  </si>
  <si>
    <t>RIKEN cDNA A830073O21 gene</t>
  </si>
  <si>
    <t>'Gnb4</t>
  </si>
  <si>
    <t>'74047771</t>
  </si>
  <si>
    <t>guanine nucleotide binding protein, beta 4</t>
  </si>
  <si>
    <t>'Arhgap4</t>
  </si>
  <si>
    <t>'75988286</t>
  </si>
  <si>
    <t>Rho GTPase activating protein 4</t>
  </si>
  <si>
    <t>'Fen1</t>
  </si>
  <si>
    <t>'77620497</t>
  </si>
  <si>
    <t>flap structure specific endonuclease 1</t>
  </si>
  <si>
    <t>'Rprm</t>
  </si>
  <si>
    <t>'71836875</t>
  </si>
  <si>
    <t>reprimo, TP53 dependent G2 arrest mediator candidate</t>
  </si>
  <si>
    <t>'9530091C08Rik</t>
  </si>
  <si>
    <t>'71249747</t>
  </si>
  <si>
    <t>RIKEN cDNA 9530091C08 gene</t>
  </si>
  <si>
    <t>'2310042E22Rik</t>
  </si>
  <si>
    <t>'75934521</t>
  </si>
  <si>
    <t>RIKEN cDNA 2310042E22 gene</t>
  </si>
  <si>
    <t>'Ttyh3</t>
  </si>
  <si>
    <t>'74988711</t>
  </si>
  <si>
    <t>tweety homolog 3 (Drosophila)</t>
  </si>
  <si>
    <t>'Dusp10</t>
  </si>
  <si>
    <t>'75750342</t>
  </si>
  <si>
    <t>dual specificity phosphatase 10</t>
  </si>
  <si>
    <t>'Gpx3</t>
  </si>
  <si>
    <t>'79762714</t>
  </si>
  <si>
    <t>glutathione peroxidase 3</t>
  </si>
  <si>
    <t>'Bcl11b</t>
  </si>
  <si>
    <t>'74990505</t>
  </si>
  <si>
    <t>B-cell leukemia/lymphoma 11B</t>
  </si>
  <si>
    <t>'Klf6</t>
  </si>
  <si>
    <t>'70431247</t>
  </si>
  <si>
    <t>Kruppel-like factor 6</t>
  </si>
  <si>
    <t>'Hs6st2</t>
  </si>
  <si>
    <t>'72129255</t>
  </si>
  <si>
    <t>heparan sulfate 6-O-sulfotransferase 2</t>
  </si>
  <si>
    <t>'Zdhhc2</t>
  </si>
  <si>
    <t>'72128751</t>
  </si>
  <si>
    <t>zinc finger, DHHC domain containing 2</t>
  </si>
  <si>
    <t>'Tacr1</t>
  </si>
  <si>
    <t>'79591721</t>
  </si>
  <si>
    <t>tachykinin receptor 1</t>
  </si>
  <si>
    <t>'Plb1</t>
  </si>
  <si>
    <t>'75214962</t>
  </si>
  <si>
    <t>phospholipase B1</t>
  </si>
  <si>
    <t>'Fhod3</t>
  </si>
  <si>
    <t>'70565557</t>
  </si>
  <si>
    <t>formin homology 2 domain containing 3</t>
  </si>
  <si>
    <t>'Cpne2</t>
  </si>
  <si>
    <t>'70743844</t>
  </si>
  <si>
    <t>copine II</t>
  </si>
  <si>
    <t>'Slc45a1</t>
  </si>
  <si>
    <t>'69626997</t>
  </si>
  <si>
    <t>solute carrier family 45, member 1</t>
  </si>
  <si>
    <t>'Cd24a</t>
  </si>
  <si>
    <t>'79591541</t>
  </si>
  <si>
    <t>CD24a antigen</t>
  </si>
  <si>
    <t>'Taar4</t>
  </si>
  <si>
    <t>'73497217</t>
  </si>
  <si>
    <t>trace amine-associated receptor 4</t>
  </si>
  <si>
    <t>'Gucy1b3</t>
  </si>
  <si>
    <t>'69734845</t>
  </si>
  <si>
    <t>guanylate cyclase 1, soluble, beta 3</t>
  </si>
  <si>
    <t>'Cit</t>
  </si>
  <si>
    <t>'75079801</t>
  </si>
  <si>
    <t>citron</t>
  </si>
  <si>
    <t>'Mesdc2</t>
  </si>
  <si>
    <t>'69015464</t>
  </si>
  <si>
    <t>mesoderm development candiate 2</t>
  </si>
  <si>
    <t>'Slc20a2</t>
  </si>
  <si>
    <t>'70231308</t>
  </si>
  <si>
    <t>solute carrier family 20, member 2</t>
  </si>
  <si>
    <t>'Nrtn</t>
  </si>
  <si>
    <t>'69117402</t>
  </si>
  <si>
    <t>neurturin</t>
  </si>
  <si>
    <t>'Gnao1</t>
  </si>
  <si>
    <t>'506</t>
  </si>
  <si>
    <t>guanine nucleotide binding protein, alpha o</t>
  </si>
  <si>
    <t>'Mtf2</t>
  </si>
  <si>
    <t>'1510</t>
  </si>
  <si>
    <t>metal response element binding transcription factor 2</t>
  </si>
  <si>
    <t>'Adamtsl3</t>
  </si>
  <si>
    <t>'73925720</t>
  </si>
  <si>
    <t>ADAMTS-like 3</t>
  </si>
  <si>
    <t>'mCG141917</t>
  </si>
  <si>
    <t>'75080643</t>
  </si>
  <si>
    <t>AB mCG141917</t>
  </si>
  <si>
    <t>'D930046H04Rik</t>
  </si>
  <si>
    <t>'70238830</t>
  </si>
  <si>
    <t>RIKEN cDNA D930046H04 gene</t>
  </si>
  <si>
    <t>'Nova1</t>
  </si>
  <si>
    <t>'70300565</t>
  </si>
  <si>
    <t>neuro-oncological ventral antigen 1</t>
  </si>
  <si>
    <t>'4931403M11Rik</t>
  </si>
  <si>
    <t>'70218456</t>
  </si>
  <si>
    <t>RIKEN cDNA 4931403M11 gene</t>
  </si>
  <si>
    <t>'Crip2</t>
  </si>
  <si>
    <t>'70612727</t>
  </si>
  <si>
    <t>cysteine rich protein 2</t>
  </si>
  <si>
    <t>'6030405A18Rik</t>
  </si>
  <si>
    <t>'71920518</t>
  </si>
  <si>
    <t>RIKEN cDNA 6030405A18 gene</t>
  </si>
  <si>
    <t>'Ptf1a</t>
  </si>
  <si>
    <t>'81657673</t>
  </si>
  <si>
    <t>pancreas specific transcription factor, 1a</t>
  </si>
  <si>
    <t>'79591595</t>
  </si>
  <si>
    <t>'S100a1</t>
  </si>
  <si>
    <t>'70429411</t>
  </si>
  <si>
    <t>S100 calcium binding protein A1</t>
  </si>
  <si>
    <t>'Fcho2</t>
  </si>
  <si>
    <t>'68667593</t>
  </si>
  <si>
    <t>FCH domain only 2</t>
  </si>
  <si>
    <t>'Fkhl18</t>
  </si>
  <si>
    <t>'69288980</t>
  </si>
  <si>
    <t>forkhead-like 18 (Drosophila)</t>
  </si>
  <si>
    <t>'4932442L08Rik</t>
  </si>
  <si>
    <t>'70218582</t>
  </si>
  <si>
    <t>RIKEN cDNA 4932442L08 gene</t>
  </si>
  <si>
    <t>'Gtf2ird1</t>
  </si>
  <si>
    <t>'74510284</t>
  </si>
  <si>
    <t>general transcription factor II I repeat domain-containing 1</t>
  </si>
  <si>
    <t>'mCG1049722.1</t>
  </si>
  <si>
    <t>'75692992</t>
  </si>
  <si>
    <t>AB mCG1049722.1</t>
  </si>
  <si>
    <t>'69116691</t>
  </si>
  <si>
    <t>'Lbx2</t>
  </si>
  <si>
    <t>'69816613</t>
  </si>
  <si>
    <t>ladybird homeobox homolog 2 (Drosophila)</t>
  </si>
  <si>
    <t>'Tsga14</t>
  </si>
  <si>
    <t>'68151448</t>
  </si>
  <si>
    <t>testis specific gene A14</t>
  </si>
  <si>
    <t>'Ntsr1</t>
  </si>
  <si>
    <t>'80342232</t>
  </si>
  <si>
    <t>neurotensin receptor 1</t>
  </si>
  <si>
    <t>'Sytl5</t>
  </si>
  <si>
    <t>'73930809</t>
  </si>
  <si>
    <t>synaptotagmin-like 5</t>
  </si>
  <si>
    <t>'Erbb4</t>
  </si>
  <si>
    <t>'72472797</t>
  </si>
  <si>
    <t>v-erb-a erythroblastic leukemia viral oncogene homolog 4 (avian)</t>
  </si>
  <si>
    <t>'Glra4</t>
  </si>
  <si>
    <t>'70724744</t>
  </si>
  <si>
    <t>glycine receptor, alpha 4 subunit</t>
  </si>
  <si>
    <t>'Cpne8</t>
  </si>
  <si>
    <t>'73520974</t>
  </si>
  <si>
    <t>copine VIII</t>
  </si>
  <si>
    <t>'A230083H22Rik</t>
  </si>
  <si>
    <t>'71809205</t>
  </si>
  <si>
    <t>RIKEN cDNA A230083H22 gene</t>
  </si>
  <si>
    <t>'Cadps2</t>
  </si>
  <si>
    <t>'73817429</t>
  </si>
  <si>
    <t>Ca2+-dependent activator protein for secretion 2</t>
  </si>
  <si>
    <t>'4930557A04Rik</t>
  </si>
  <si>
    <t>'73513290</t>
  </si>
  <si>
    <t>RIKEN cDNA 4930557A04 gene</t>
  </si>
  <si>
    <t>'Mier2</t>
  </si>
  <si>
    <t>'393264</t>
  </si>
  <si>
    <t>mesoderm induction early response 1, family member 2</t>
  </si>
  <si>
    <t>'Cdc26</t>
  </si>
  <si>
    <t>'392912</t>
  </si>
  <si>
    <t>cell division cycle 26</t>
  </si>
  <si>
    <t>'Bcar3</t>
  </si>
  <si>
    <t>'77371769</t>
  </si>
  <si>
    <t>breast cancer anti-estrogen resistance 3</t>
  </si>
  <si>
    <t>'Polk</t>
  </si>
  <si>
    <t>'75077171</t>
  </si>
  <si>
    <t>polymerase (DNA directed), kappa</t>
  </si>
  <si>
    <t>'Snca</t>
  </si>
  <si>
    <t>'79908848</t>
  </si>
  <si>
    <t>synuclein, alpha</t>
  </si>
  <si>
    <t>'Mrps28</t>
  </si>
  <si>
    <t>'68744612</t>
  </si>
  <si>
    <t>mitochondrial ribosomal protein S28</t>
  </si>
  <si>
    <t>'C430004E15Rik</t>
  </si>
  <si>
    <t>'69531007</t>
  </si>
  <si>
    <t>RIKEN cDNA C430004E15 gene</t>
  </si>
  <si>
    <t>'A230067G21Rik</t>
  </si>
  <si>
    <t>'74277699</t>
  </si>
  <si>
    <t>RIKEN cDNA A230067G21 gene</t>
  </si>
  <si>
    <t>'Sh3kbp1</t>
  </si>
  <si>
    <t>'74272906</t>
  </si>
  <si>
    <t>SH3-domain kinase binding protein 1</t>
  </si>
  <si>
    <t>'Pax2</t>
  </si>
  <si>
    <t>'69816667</t>
  </si>
  <si>
    <t>paired box gene 2</t>
  </si>
  <si>
    <t>'BC052055</t>
  </si>
  <si>
    <t>'68911016</t>
  </si>
  <si>
    <t>cDNA sequence BC052055</t>
  </si>
  <si>
    <t>'1110008J03Rik</t>
  </si>
  <si>
    <t>'68445694</t>
  </si>
  <si>
    <t>RIKEN cDNA 1110008J03 gene</t>
  </si>
  <si>
    <t>'Hs3st1</t>
  </si>
  <si>
    <t>'2305</t>
  </si>
  <si>
    <t>heparan sulfate (glucosamine) 3-O-sulfotransferase 1</t>
  </si>
  <si>
    <t>'Fbxl2</t>
  </si>
  <si>
    <t>'69672312</t>
  </si>
  <si>
    <t>F-box and leucine-rich repeat protein 2</t>
  </si>
  <si>
    <t>'Mtl5</t>
  </si>
  <si>
    <t>'75861870</t>
  </si>
  <si>
    <t>metallothionein-like 5, testis-specific (tesmin)</t>
  </si>
  <si>
    <t>'Gjb6</t>
  </si>
  <si>
    <t>'2261</t>
  </si>
  <si>
    <t>gap junction membrane channel protein beta 6</t>
  </si>
  <si>
    <t>'Tmem64</t>
  </si>
  <si>
    <t>'76098409</t>
  </si>
  <si>
    <t>transmembrane protein 64</t>
  </si>
  <si>
    <t>'D3Ertd300e</t>
  </si>
  <si>
    <t>'70238663</t>
  </si>
  <si>
    <t>DNA segment, Chr 3, ERATO Doi 300, expressed</t>
  </si>
  <si>
    <t>'Igsf9b</t>
  </si>
  <si>
    <t>'75147761</t>
  </si>
  <si>
    <t>immunoglobulin superfamily, member 9B</t>
  </si>
  <si>
    <t>'Tera</t>
  </si>
  <si>
    <t>'1878</t>
  </si>
  <si>
    <t>teratocarcinoma expressed, serine rich</t>
  </si>
  <si>
    <t>'1700007N14Rik</t>
  </si>
  <si>
    <t>'74581313</t>
  </si>
  <si>
    <t>RIKEN cDNA 1700007N14 gene</t>
  </si>
  <si>
    <t>'Fbxl17</t>
  </si>
  <si>
    <t>'71212440</t>
  </si>
  <si>
    <t>F-box and leucine-rich repeat protein 17</t>
  </si>
  <si>
    <t>'2010107G23Rik</t>
  </si>
  <si>
    <t>'81600086</t>
  </si>
  <si>
    <t>RIKEN cDNA 2010107G23 gene</t>
  </si>
  <si>
    <t>'5133400G04Rik</t>
  </si>
  <si>
    <t>'75931478</t>
  </si>
  <si>
    <t>RIKEN cDNA 5133400G04 gene</t>
  </si>
  <si>
    <t>'Tnfsf10</t>
  </si>
  <si>
    <t>'69981163</t>
  </si>
  <si>
    <t>tumor necrosis factor (ligand) superfamily, member 10</t>
  </si>
  <si>
    <t>'Mum1</t>
  </si>
  <si>
    <t>'69169923</t>
  </si>
  <si>
    <t>melanoma associated antigen (mutated) 1</t>
  </si>
  <si>
    <t>'Runx2</t>
  </si>
  <si>
    <t>'1278</t>
  </si>
  <si>
    <t>runt related transcription factor 2</t>
  </si>
  <si>
    <t>'1700027I07Rik*</t>
  </si>
  <si>
    <t>'73716638</t>
  </si>
  <si>
    <t>RIKEN cDNA 1700027I07 gene (non-RefSeq)</t>
  </si>
  <si>
    <t>'Pld3</t>
  </si>
  <si>
    <t>'809</t>
  </si>
  <si>
    <t>phospholipase D family, member 3</t>
  </si>
  <si>
    <t>'Sult1a1</t>
  </si>
  <si>
    <t>'75774114</t>
  </si>
  <si>
    <t>sulfotransferase family 1A, phenol-preferring, member 1</t>
  </si>
  <si>
    <t>'Col11a2</t>
  </si>
  <si>
    <t>'74581187</t>
  </si>
  <si>
    <t>procollagen, type XI, alpha 2</t>
  </si>
  <si>
    <t>'Gjb3</t>
  </si>
  <si>
    <t>'75861847</t>
  </si>
  <si>
    <t>gap junction membrane channel protein beta 3</t>
  </si>
  <si>
    <t>'Prkg1</t>
  </si>
  <si>
    <t>'73521817</t>
  </si>
  <si>
    <t>protein kinase, cGMP-dependent, type I</t>
  </si>
  <si>
    <t>'Golph3</t>
  </si>
  <si>
    <t>'69013483</t>
  </si>
  <si>
    <t>golgi phosphoprotein 3</t>
  </si>
  <si>
    <t>'Ccdc27</t>
  </si>
  <si>
    <t>'74562552</t>
  </si>
  <si>
    <t>coiled-coil domain containing 27</t>
  </si>
  <si>
    <t>'1300010F03Rik</t>
  </si>
  <si>
    <t>'77799023</t>
  </si>
  <si>
    <t>RIKEN cDNA 1300010F03 gene</t>
  </si>
  <si>
    <t>'Tusc3</t>
  </si>
  <si>
    <t>'69134474</t>
  </si>
  <si>
    <t>tumor suppressor candidate 3</t>
  </si>
  <si>
    <t>'Dnajb13</t>
  </si>
  <si>
    <t>'69114115</t>
  </si>
  <si>
    <t>DnaJ (Hsp40) related, subfamily B, member 13</t>
  </si>
  <si>
    <t>'Pin1</t>
  </si>
  <si>
    <t>'69783196</t>
  </si>
  <si>
    <t>protein (peptidyl-prolyl cis/trans isomerase) NIMA-interacting 1</t>
  </si>
  <si>
    <t>'LOC666339</t>
  </si>
  <si>
    <t>'75862443</t>
  </si>
  <si>
    <t>-</t>
  </si>
  <si>
    <t>'Prom1</t>
  </si>
  <si>
    <t>'79756306</t>
  </si>
  <si>
    <t>prominin 1</t>
  </si>
  <si>
    <t>'D930015E06Rik</t>
  </si>
  <si>
    <t>'77924472</t>
  </si>
  <si>
    <t>RIKEN cDNA D930015E06 gene</t>
  </si>
  <si>
    <t>'Fjx1</t>
  </si>
  <si>
    <t>'1204</t>
  </si>
  <si>
    <t>four jointed box 1 (Drosophila)</t>
  </si>
  <si>
    <t>'Kcnk15</t>
  </si>
  <si>
    <t>'70724864</t>
  </si>
  <si>
    <t>potassium channel, subfamily K, member 15</t>
  </si>
  <si>
    <t>'Treml1</t>
  </si>
  <si>
    <t>'71489792</t>
  </si>
  <si>
    <t>triggering receptor expressed on myeloid cells-like 1</t>
  </si>
  <si>
    <t>'Stard4</t>
  </si>
  <si>
    <t>'69059820</t>
  </si>
  <si>
    <t>StAR-related lipid transfer (START) domain containing 4</t>
  </si>
  <si>
    <t>'Sepp1</t>
  </si>
  <si>
    <t>'79903768</t>
  </si>
  <si>
    <t>selenoprotein P, plasma, 1</t>
  </si>
  <si>
    <t>'Vezt</t>
  </si>
  <si>
    <t>'74819329</t>
  </si>
  <si>
    <t>vezatin, adherens junctions transmembrane protein</t>
  </si>
  <si>
    <t>'F730043M19Rik*</t>
  </si>
  <si>
    <t>'73731247</t>
  </si>
  <si>
    <t>RIKEN cDNA F730043M19 gene (non-RefSeq)</t>
  </si>
  <si>
    <t>'Man1a</t>
  </si>
  <si>
    <t>'75502197</t>
  </si>
  <si>
    <t>mannosidase 1, alpha</t>
  </si>
  <si>
    <t>'Eif2c3</t>
  </si>
  <si>
    <t>'70724708</t>
  </si>
  <si>
    <t>eukaryotic translation initiation factor 2C, 3</t>
  </si>
  <si>
    <t>'Apc</t>
  </si>
  <si>
    <t>'74881517</t>
  </si>
  <si>
    <t>adenomatosis polyposis coli</t>
  </si>
  <si>
    <t>'Zbtb20</t>
  </si>
  <si>
    <t>'79677359</t>
  </si>
  <si>
    <t>zinc finger and BTB domain containing 20</t>
  </si>
  <si>
    <t>'Ikbkb</t>
  </si>
  <si>
    <t>'1750</t>
  </si>
  <si>
    <t>inhibitor of kappaB kinase beta</t>
  </si>
  <si>
    <t>'Rfwd3</t>
  </si>
  <si>
    <t>'67764932</t>
  </si>
  <si>
    <t>ring finger and WD repeat domain 3</t>
  </si>
  <si>
    <t>'Nr2e1</t>
  </si>
  <si>
    <t>'77464920</t>
  </si>
  <si>
    <t>nuclear receptor subfamily 2, group E, member 1</t>
  </si>
  <si>
    <t>'Sumo1</t>
  </si>
  <si>
    <t>'81600154</t>
  </si>
  <si>
    <t>SMT3 suppressor of mif two 3 homolog 1 (yeast)</t>
  </si>
  <si>
    <t>'1500019G21Rik</t>
  </si>
  <si>
    <t>'564782</t>
  </si>
  <si>
    <t>RIKEN cDNA 1500019G21 gene</t>
  </si>
  <si>
    <t>'Galntl1</t>
  </si>
  <si>
    <t>'71717305</t>
  </si>
  <si>
    <t>UDP-N-acetyl-alpha-D-galactosamine:polypeptide N-acetylgalactosaminyltransferase-like 1</t>
  </si>
  <si>
    <t>'Cstf2t</t>
  </si>
  <si>
    <t>'68196929</t>
  </si>
  <si>
    <t>cleavage stimulation factor, 3' pre-RNA subunit 2, tau</t>
  </si>
  <si>
    <t>'Mrgprx1</t>
  </si>
  <si>
    <t>'70784660</t>
  </si>
  <si>
    <t>MAS-related GPR, member X1</t>
  </si>
  <si>
    <t>'Myo9b</t>
  </si>
  <si>
    <t>'71456109</t>
  </si>
  <si>
    <t>myosin IXb</t>
  </si>
  <si>
    <t>'Slc4a3</t>
  </si>
  <si>
    <t>'69874000</t>
  </si>
  <si>
    <t>solute carrier family 4 (anion exchanger), member 3</t>
  </si>
  <si>
    <t>'B3galt1</t>
  </si>
  <si>
    <t>'69527896</t>
  </si>
  <si>
    <t>UDP-Gal:betaGlcNAc beta 1,3-galactosyltransferase, polypeptide 1</t>
  </si>
  <si>
    <t>'Sparc</t>
  </si>
  <si>
    <t>'73788443</t>
  </si>
  <si>
    <t>secreted acidic cysteine rich glycoprotein</t>
  </si>
  <si>
    <t>'Pcgf6</t>
  </si>
  <si>
    <t>'638729</t>
  </si>
  <si>
    <t>polycomb group ring finger 6</t>
  </si>
  <si>
    <t>'69540266</t>
  </si>
  <si>
    <t>'Esr2</t>
  </si>
  <si>
    <t>'71670737</t>
  </si>
  <si>
    <t>estrogen receptor 2 (beta)</t>
  </si>
  <si>
    <t>'Slc5a2</t>
  </si>
  <si>
    <t>'68632936</t>
  </si>
  <si>
    <t>solute carrier family 5 (sodium/glucose cotransporter), member 2</t>
  </si>
  <si>
    <t>'E330014M11Rik*</t>
  </si>
  <si>
    <t>'74076114</t>
  </si>
  <si>
    <t>RIKEN cDNA E330014M11 gene (non-RefSeq)</t>
  </si>
  <si>
    <t>'St6gal2</t>
  </si>
  <si>
    <t>'69290537</t>
  </si>
  <si>
    <t>beta galactoside alpha 2,6 sialyltransferase 2</t>
  </si>
  <si>
    <t>'Dnahc5</t>
  </si>
  <si>
    <t>'69626939</t>
  </si>
  <si>
    <t>dynein, axonemal, heavy chain 5</t>
  </si>
  <si>
    <t>'Kcnn4</t>
  </si>
  <si>
    <t>'119686</t>
  </si>
  <si>
    <t>potassium intermediate/small conductance calcium-activated channel, subfamily N, member 4</t>
  </si>
  <si>
    <t>'Ppp2r3a</t>
  </si>
  <si>
    <t>'75214935</t>
  </si>
  <si>
    <t>protein phosphatase 2 (formerly 2A), regulatory subunit B, alpha</t>
  </si>
  <si>
    <t>'Sidt1</t>
  </si>
  <si>
    <t>'71587812</t>
  </si>
  <si>
    <t>SID1 transmembrane family, member 1</t>
  </si>
  <si>
    <t>'Zfp53</t>
  </si>
  <si>
    <t>'68924709</t>
  </si>
  <si>
    <t>zinc finger protein 53</t>
  </si>
  <si>
    <t>'Cxxc5</t>
  </si>
  <si>
    <t>'69080510</t>
  </si>
  <si>
    <t>CXXC finger 5</t>
  </si>
  <si>
    <t>'6430598A04Rik</t>
  </si>
  <si>
    <t>'69549614</t>
  </si>
  <si>
    <t>RIKEN cDNA 6430598A04 gene</t>
  </si>
  <si>
    <t>'Gtf2ird2</t>
  </si>
  <si>
    <t>'69353548</t>
  </si>
  <si>
    <t>GTF2I repeat domain containing 2</t>
  </si>
  <si>
    <t>'Vps33b</t>
  </si>
  <si>
    <t>'69173250</t>
  </si>
  <si>
    <t>vacuolar protein sorting 33B (yeast)</t>
  </si>
  <si>
    <t>'Glce</t>
  </si>
  <si>
    <t>'71280946</t>
  </si>
  <si>
    <t>glucuronyl C5-epimerase</t>
  </si>
  <si>
    <t>'Ptprz1</t>
  </si>
  <si>
    <t>'71487157</t>
  </si>
  <si>
    <t>protein tyrosine phosphatase, receptor type Z, polypeptide 1</t>
  </si>
  <si>
    <t>'72081556</t>
  </si>
  <si>
    <t>'Usp36</t>
  </si>
  <si>
    <t>'70194648</t>
  </si>
  <si>
    <t>ubiquitin specific peptidase 36</t>
  </si>
  <si>
    <t>'Elk1</t>
  </si>
  <si>
    <t>'2185</t>
  </si>
  <si>
    <t>ELK1, member of ETS oncogene family</t>
  </si>
  <si>
    <t>'Tspan15</t>
  </si>
  <si>
    <t>'70612725</t>
  </si>
  <si>
    <t>tetraspanin 15</t>
  </si>
  <si>
    <t>'Satb1</t>
  </si>
  <si>
    <t>'79488931</t>
  </si>
  <si>
    <t>special AT-rich sequence binding protein 1</t>
  </si>
  <si>
    <t>'Rgs11</t>
  </si>
  <si>
    <t>'74562546</t>
  </si>
  <si>
    <t>regulator of G-protein signaling 11</t>
  </si>
  <si>
    <t>'Kif27</t>
  </si>
  <si>
    <t>'70295416</t>
  </si>
  <si>
    <t>kinesin family member 27</t>
  </si>
  <si>
    <t>'Tmem23</t>
  </si>
  <si>
    <t>'77910765</t>
  </si>
  <si>
    <t>transmembrane protein 23</t>
  </si>
  <si>
    <t>'LOC241053</t>
  </si>
  <si>
    <t>'74736087</t>
  </si>
  <si>
    <t>similar to 60S ribosomal protein L12</t>
  </si>
  <si>
    <t>'Cntn1</t>
  </si>
  <si>
    <t>'414</t>
  </si>
  <si>
    <t>contactin 1</t>
  </si>
  <si>
    <t>'Ckm</t>
  </si>
  <si>
    <t>'76115727</t>
  </si>
  <si>
    <t>creatine kinase, muscle</t>
  </si>
  <si>
    <t>'4933405O20Rik</t>
  </si>
  <si>
    <t>'69116859</t>
  </si>
  <si>
    <t>RIKEN cDNA 4933405O20 gene</t>
  </si>
  <si>
    <t>'Obox1</t>
  </si>
  <si>
    <t>'81790668</t>
  </si>
  <si>
    <t>oocyte specific homeobox 1</t>
  </si>
  <si>
    <t>'AU041783</t>
  </si>
  <si>
    <t>'67764927</t>
  </si>
  <si>
    <t>expressed sequence AU041783</t>
  </si>
  <si>
    <t>'LOC436410</t>
  </si>
  <si>
    <t>'71283376</t>
  </si>
  <si>
    <t>similar to leucine-rich repeats and calponin homology (CH) domain containing 3; 2210409B11Rik</t>
  </si>
  <si>
    <t>'Vamp1</t>
  </si>
  <si>
    <t>'75651233</t>
  </si>
  <si>
    <t>vesicle-associated membrane protein 1</t>
  </si>
  <si>
    <t>'Grip1</t>
  </si>
  <si>
    <t>'70565623</t>
  </si>
  <si>
    <t>glutamate receptor interacting protein 1</t>
  </si>
  <si>
    <t>'79568020</t>
  </si>
  <si>
    <t>'Ddhd1</t>
  </si>
  <si>
    <t>'69838392</t>
  </si>
  <si>
    <t>DDHD domain containing 1</t>
  </si>
  <si>
    <t>'6130401L20Rik</t>
  </si>
  <si>
    <t>'71892310</t>
  </si>
  <si>
    <t>RIKEN cDNA 6130401L20 gene</t>
  </si>
  <si>
    <t>'2610204G22Rik</t>
  </si>
  <si>
    <t>'75934922</t>
  </si>
  <si>
    <t>RIKEN cDNA 2610204G22 gene</t>
  </si>
  <si>
    <t>'LOC268906</t>
  </si>
  <si>
    <t>'71281919</t>
  </si>
  <si>
    <t>hypothetical LOC268906</t>
  </si>
  <si>
    <t>'Hbb</t>
  </si>
  <si>
    <t>'77340464</t>
  </si>
  <si>
    <t>hemoglobin beta chain complex</t>
  </si>
  <si>
    <t>'Serinc5</t>
  </si>
  <si>
    <t>'77278973</t>
  </si>
  <si>
    <t>serine incorporator 5</t>
  </si>
  <si>
    <t>'Pim2</t>
  </si>
  <si>
    <t>'32583</t>
  </si>
  <si>
    <t>proviral integration site 2</t>
  </si>
  <si>
    <t>'Txnrd1</t>
  </si>
  <si>
    <t>'70565383</t>
  </si>
  <si>
    <t>thioredoxin reductase 1</t>
  </si>
  <si>
    <t>'989</t>
  </si>
  <si>
    <t>'Gad2</t>
  </si>
  <si>
    <t>'79903740</t>
  </si>
  <si>
    <t>glutamic acid decarboxylase 2</t>
  </si>
  <si>
    <t>'1092</t>
  </si>
  <si>
    <t>'Slc25a27</t>
  </si>
  <si>
    <t>'74988334</t>
  </si>
  <si>
    <t>solute carrier family 25, member 27</t>
  </si>
  <si>
    <t>'Foxp1</t>
  </si>
  <si>
    <t>'71249056</t>
  </si>
  <si>
    <t>forkhead box P1</t>
  </si>
  <si>
    <t>'TC1481850</t>
  </si>
  <si>
    <t>'70812774</t>
  </si>
  <si>
    <t>TIGR MGI TC1481850</t>
  </si>
  <si>
    <t>'Spag5</t>
  </si>
  <si>
    <t>'72081516</t>
  </si>
  <si>
    <t>sperm associated antigen 5</t>
  </si>
  <si>
    <t>'Tnfaip8l3</t>
  </si>
  <si>
    <t>'69447870</t>
  </si>
  <si>
    <t>tumor necrosis factor, alpha-induced protein 8-like 3</t>
  </si>
  <si>
    <t>'Reln</t>
  </si>
  <si>
    <t>'890</t>
  </si>
  <si>
    <t>reelin</t>
  </si>
  <si>
    <t>'Cnp1</t>
  </si>
  <si>
    <t>'1175</t>
  </si>
  <si>
    <t>cyclic nucleotide phosphodiesterase 1</t>
  </si>
  <si>
    <t>'F930048A06Rik*</t>
  </si>
  <si>
    <t>'73767424</t>
  </si>
  <si>
    <t>RIKEN cDNA F930048A06 gene (non-RefSeq)</t>
  </si>
  <si>
    <t>'Akr1c6</t>
  </si>
  <si>
    <t>'70946159</t>
  </si>
  <si>
    <t>aldo-keto reductase family 1, member C6</t>
  </si>
  <si>
    <t>'70598366</t>
  </si>
  <si>
    <t>'Stat2</t>
  </si>
  <si>
    <t>'69133653</t>
  </si>
  <si>
    <t>signal transducer and activator of transcription 2</t>
  </si>
  <si>
    <t>'Stxbp6</t>
  </si>
  <si>
    <t>'70744323</t>
  </si>
  <si>
    <t>syntaxin binding protein 6 (amisyn)</t>
  </si>
  <si>
    <t>'Tmem162</t>
  </si>
  <si>
    <t>'71919182</t>
  </si>
  <si>
    <t>transmembrane protein 162</t>
  </si>
  <si>
    <t>'Fryl</t>
  </si>
  <si>
    <t>'70431430</t>
  </si>
  <si>
    <t>furry homolog-like (Drosophila)</t>
  </si>
  <si>
    <t>'Mpped1</t>
  </si>
  <si>
    <t>'68861785</t>
  </si>
  <si>
    <t>metallophosphoesterase domain containing 1</t>
  </si>
  <si>
    <t>'Ntrk2</t>
  </si>
  <si>
    <t>'746</t>
  </si>
  <si>
    <t>neurotrophic tyrosine kinase, receptor, type 2</t>
  </si>
  <si>
    <t>'79904248</t>
  </si>
  <si>
    <t>'Il11ra2</t>
  </si>
  <si>
    <t>'75041444</t>
  </si>
  <si>
    <t>interleukin 11 receptor, alpha chain 2</t>
  </si>
  <si>
    <t>'Nxph1</t>
  </si>
  <si>
    <t>'75084479</t>
  </si>
  <si>
    <t>neurexophilin 1</t>
  </si>
  <si>
    <t>'Tyr</t>
  </si>
  <si>
    <t>'2703</t>
  </si>
  <si>
    <t>tyrosinase</t>
  </si>
  <si>
    <t>'Gria4</t>
  </si>
  <si>
    <t>'68844654</t>
  </si>
  <si>
    <t>glutamate receptor, ionotropic, AMPA4 (alpha 4)</t>
  </si>
  <si>
    <t>'G430002G23Rik</t>
  </si>
  <si>
    <t>'73817932</t>
  </si>
  <si>
    <t>RIKEN cDNA G430002G23 gene</t>
  </si>
  <si>
    <t>'Zfp260</t>
  </si>
  <si>
    <t>'75080996</t>
  </si>
  <si>
    <t>zinc finger protein 260</t>
  </si>
  <si>
    <t>'Blcap</t>
  </si>
  <si>
    <t>'68637575</t>
  </si>
  <si>
    <t>bladder cancer associated protein homolog (human)</t>
  </si>
  <si>
    <t>'Mrps12</t>
  </si>
  <si>
    <t>'68301365</t>
  </si>
  <si>
    <t>mitochondrial ribosomal protein S12</t>
  </si>
  <si>
    <t>'Iqgap1</t>
  </si>
  <si>
    <t>'69262296</t>
  </si>
  <si>
    <t>IQ motif containing GTPase activating protein 1</t>
  </si>
  <si>
    <t>'E2f4</t>
  </si>
  <si>
    <t>'1195</t>
  </si>
  <si>
    <t>E2F transcription factor 4</t>
  </si>
  <si>
    <t>'LOC433311</t>
  </si>
  <si>
    <t>'74988757</t>
  </si>
  <si>
    <t>LOC433311</t>
  </si>
  <si>
    <t>'Ces6</t>
  </si>
  <si>
    <t>'75861873</t>
  </si>
  <si>
    <t>carboxylesterase 6</t>
  </si>
  <si>
    <t>'Slc8a3</t>
  </si>
  <si>
    <t>'74357546</t>
  </si>
  <si>
    <t>solute carrier family 8 (sodium/calcium exchanger), member 3</t>
  </si>
  <si>
    <t>'Zfp57</t>
  </si>
  <si>
    <t>'72103842</t>
  </si>
  <si>
    <t>zinc finger protein 57</t>
  </si>
  <si>
    <t>'Sh3bgrl3</t>
  </si>
  <si>
    <t>'69873708</t>
  </si>
  <si>
    <t>SH3 domain binding glutamic acid-rich protein-like 3</t>
  </si>
  <si>
    <t>'Tcerg1l</t>
  </si>
  <si>
    <t>'69980208</t>
  </si>
  <si>
    <t>transcription elongation regulator 1-like</t>
  </si>
  <si>
    <t>'Cspg5</t>
  </si>
  <si>
    <t>'73931385</t>
  </si>
  <si>
    <t>chondroitin sulfate proteoglycan 5</t>
  </si>
  <si>
    <t>'Epb4.1l3</t>
  </si>
  <si>
    <t>'72283605</t>
  </si>
  <si>
    <t>erythrocyte protein band 4.1-like 3</t>
  </si>
  <si>
    <t>'AL033314</t>
  </si>
  <si>
    <t>'77869128</t>
  </si>
  <si>
    <t>expressed sequence AL033314</t>
  </si>
  <si>
    <t>'Cntfr</t>
  </si>
  <si>
    <t>'75651138</t>
  </si>
  <si>
    <t>ciliary neurotrophic factor receptor</t>
  </si>
  <si>
    <t>'741</t>
  </si>
  <si>
    <t>'Grm3</t>
  </si>
  <si>
    <t>'81671346</t>
  </si>
  <si>
    <t>glutamate receptor, metabotropic 3</t>
  </si>
  <si>
    <t>'Rpn2</t>
  </si>
  <si>
    <t>'906</t>
  </si>
  <si>
    <t>ribophorin II</t>
  </si>
  <si>
    <t>'Snapc5</t>
  </si>
  <si>
    <t>'77910785</t>
  </si>
  <si>
    <t>small nuclear RNA activating complex, polypeptide 5</t>
  </si>
  <si>
    <t>'Slc25a29</t>
  </si>
  <si>
    <t>'78534484</t>
  </si>
  <si>
    <t>solute carrier family 25 (mitochondrial carrier, palmitoylcarnitine transporter), member 29</t>
  </si>
  <si>
    <t>'Tas1r2</t>
  </si>
  <si>
    <t>'74056139</t>
  </si>
  <si>
    <t>taste receptor, type 1, member 2</t>
  </si>
  <si>
    <t>'E430002B13Rik*</t>
  </si>
  <si>
    <t>'74300783</t>
  </si>
  <si>
    <t>RIKEN cDNA E430002B13 gene (non-RefSeq)</t>
  </si>
  <si>
    <t>'1700008O03Rik</t>
  </si>
  <si>
    <t>'75934506</t>
  </si>
  <si>
    <t>RIKEN cDNA 1700008O03 gene</t>
  </si>
  <si>
    <t>'Mfsd2</t>
  </si>
  <si>
    <t>'68844397</t>
  </si>
  <si>
    <t>major facilitator superfamily domain containing 2</t>
  </si>
  <si>
    <t>'Scarb2</t>
  </si>
  <si>
    <t>'68546500</t>
  </si>
  <si>
    <t>scavenger receptor class B, member 2</t>
  </si>
  <si>
    <t>'AI450540</t>
  </si>
  <si>
    <t>'69169959</t>
  </si>
  <si>
    <t>expressed sequence AI450540</t>
  </si>
  <si>
    <t>'Gas5</t>
  </si>
  <si>
    <t>'483</t>
  </si>
  <si>
    <t>growth arrest specific 5</t>
  </si>
  <si>
    <t>'LOC432425</t>
  </si>
  <si>
    <t>'74509476</t>
  </si>
  <si>
    <t>similar to nesprin 1 isoform beta; synaptic nuclei expressed gene 1; nesprin 1; enaptin</t>
  </si>
  <si>
    <t>'Ptk2</t>
  </si>
  <si>
    <t>'75774672</t>
  </si>
  <si>
    <t>PTK2 protein tyrosine kinase 2</t>
  </si>
  <si>
    <t>'Pou6f1</t>
  </si>
  <si>
    <t>'74357559</t>
  </si>
  <si>
    <t>POU domain, class 6, transcription factor 1</t>
  </si>
  <si>
    <t>'71656697</t>
  </si>
  <si>
    <t>'Igfbp7</t>
  </si>
  <si>
    <t>'81654139</t>
  </si>
  <si>
    <t>insulin-like growth factor binding protein 7</t>
  </si>
  <si>
    <t>'LOC433727</t>
  </si>
  <si>
    <t>'72076418</t>
  </si>
  <si>
    <t>similar to protein tyrosine phosphatase, receptor type, D</t>
  </si>
  <si>
    <t>'Fbxo3</t>
  </si>
  <si>
    <t>'69103916</t>
  </si>
  <si>
    <t>F-box only protein 3</t>
  </si>
  <si>
    <t>'Nnat</t>
  </si>
  <si>
    <t>'77887874</t>
  </si>
  <si>
    <t>neuronatin</t>
  </si>
  <si>
    <t>'Hs6st1</t>
  </si>
  <si>
    <t>'74819258</t>
  </si>
  <si>
    <t>heparan sulfate 6-O-sulfotransferase 1</t>
  </si>
  <si>
    <t>'Bhlhb9</t>
  </si>
  <si>
    <t>'74274689</t>
  </si>
  <si>
    <t>basic helix-loop-helix domain containing, class B9</t>
  </si>
  <si>
    <t>'Uchl3</t>
  </si>
  <si>
    <t>'69116402</t>
  </si>
  <si>
    <t>ubiquitin carboxyl-terminal esterase L3 (ubiquitin thiolesterase)</t>
  </si>
  <si>
    <t>'Gtf2i</t>
  </si>
  <si>
    <t>'2277</t>
  </si>
  <si>
    <t>general transcription factor II I</t>
  </si>
  <si>
    <t>'TC1536776</t>
  </si>
  <si>
    <t>'79762708</t>
  </si>
  <si>
    <t>TIGR MGI TC1536776</t>
  </si>
  <si>
    <t>'Kif5a</t>
  </si>
  <si>
    <t>'79360322</t>
  </si>
  <si>
    <t>kinesin family member 5A</t>
  </si>
  <si>
    <t>'Lrrn2</t>
  </si>
  <si>
    <t>'74819328</t>
  </si>
  <si>
    <t>leucine rich repeat protein 2, neuronal</t>
  </si>
  <si>
    <t>'Kcnt1</t>
  </si>
  <si>
    <t>'71211407</t>
  </si>
  <si>
    <t>potassium channel, subfamily T, member 1</t>
  </si>
  <si>
    <t>'Ogfod2</t>
  </si>
  <si>
    <t>'69169797</t>
  </si>
  <si>
    <t>2-oxoglutarate and iron-dependent oxygenase domain containing 2</t>
  </si>
  <si>
    <t>'Ptpn5</t>
  </si>
  <si>
    <t>'74743293</t>
  </si>
  <si>
    <t>protein tyrosine phosphatase, non-receptor type 5</t>
  </si>
  <si>
    <t>'Pacsin2</t>
  </si>
  <si>
    <t>'74638864</t>
  </si>
  <si>
    <t>protein kinase C and casein kinase substrate in neurons 2</t>
  </si>
  <si>
    <t>'Ctxn1</t>
  </si>
  <si>
    <t>'74586669</t>
  </si>
  <si>
    <t>cortexin 1</t>
  </si>
  <si>
    <t>'Utp18</t>
  </si>
  <si>
    <t>'69444777</t>
  </si>
  <si>
    <t>UTP18, small subunit (SSU) processome component, homolog (yeast)</t>
  </si>
  <si>
    <t>'Gabrr2</t>
  </si>
  <si>
    <t>'79760466</t>
  </si>
  <si>
    <t>gamma-aminobutyric acid (GABA-C) receptor, subunit rho 2</t>
  </si>
  <si>
    <t>'AI506816</t>
  </si>
  <si>
    <t>'70300192</t>
  </si>
  <si>
    <t>expressed sequence AI506816</t>
  </si>
  <si>
    <t>'Tusc5</t>
  </si>
  <si>
    <t>'70192147</t>
  </si>
  <si>
    <t>tumor suppressor candidate 5</t>
  </si>
  <si>
    <t>'Clic1</t>
  </si>
  <si>
    <t>'67809267</t>
  </si>
  <si>
    <t>chloride intracellular channel 1</t>
  </si>
  <si>
    <t>'Fut8</t>
  </si>
  <si>
    <t>'72007749</t>
  </si>
  <si>
    <t>fucosyltransferase 8</t>
  </si>
  <si>
    <t>'69262278</t>
  </si>
  <si>
    <t>'71016617</t>
  </si>
  <si>
    <t>'Sirt2</t>
  </si>
  <si>
    <t>'74990520</t>
  </si>
  <si>
    <t>sirtuin 2 (silent mating type information regulation 2, homolog) 2 (S. cerevisiae)</t>
  </si>
  <si>
    <t>'5930422O12Rik</t>
  </si>
  <si>
    <t>'69444735</t>
  </si>
  <si>
    <t>RIKEN cDNA 5930422O12 gene</t>
  </si>
  <si>
    <t>'5730455P16Rik</t>
  </si>
  <si>
    <t>'69013744</t>
  </si>
  <si>
    <t>RIKEN cDNA 5730455P16 gene</t>
  </si>
  <si>
    <t>'9430020K01Rik</t>
  </si>
  <si>
    <t>'75988537</t>
  </si>
  <si>
    <t>RIKEN cDNA 9430020K01 gene</t>
  </si>
  <si>
    <t>'Pcdhb22</t>
  </si>
  <si>
    <t>'77620845</t>
  </si>
  <si>
    <t>protocadherin beta 22</t>
  </si>
  <si>
    <t>'Casd1</t>
  </si>
  <si>
    <t>'77620473</t>
  </si>
  <si>
    <t>CAS1 domain containing 1</t>
  </si>
  <si>
    <t>'Tbc1d9b</t>
  </si>
  <si>
    <t>'70542909</t>
  </si>
  <si>
    <t>TBC1 domain family, member 9B</t>
  </si>
  <si>
    <t>'Cldn5</t>
  </si>
  <si>
    <t>'79490120</t>
  </si>
  <si>
    <t>claudin 5</t>
  </si>
  <si>
    <t>'Zbtb24</t>
  </si>
  <si>
    <t>'73592542</t>
  </si>
  <si>
    <t>zinc finger and BTB domain containing 24</t>
  </si>
  <si>
    <t>'Slc44a2</t>
  </si>
  <si>
    <t>'79756317</t>
  </si>
  <si>
    <t>solute carrier family 44, member 2</t>
  </si>
  <si>
    <t>'Sema6a</t>
  </si>
  <si>
    <t>'68844851</t>
  </si>
  <si>
    <t>sema domain, transmembrane domain (TM), and cytoplasmic domain, (semaphorin) 6A</t>
  </si>
  <si>
    <t>'Grik3</t>
  </si>
  <si>
    <t>'75749418</t>
  </si>
  <si>
    <t>glutamate receptor, ionotropic, kainate 3</t>
  </si>
  <si>
    <t>'77790714</t>
  </si>
  <si>
    <t>'Cdk4</t>
  </si>
  <si>
    <t>'79677345</t>
  </si>
  <si>
    <t>cyclin-dependent kinase 4</t>
  </si>
  <si>
    <t>'Sub1</t>
  </si>
  <si>
    <t>'356490</t>
  </si>
  <si>
    <t>SUB1 homolog (S. cerevisia</t>
  </si>
  <si>
    <t>'Nfrkb</t>
  </si>
  <si>
    <t>'75831740</t>
  </si>
  <si>
    <t>nuclear factor related to kappa B binding protein</t>
  </si>
  <si>
    <t>'Rpn1</t>
  </si>
  <si>
    <t>'638734</t>
  </si>
  <si>
    <t>ribophorin I</t>
  </si>
  <si>
    <t>'Slc2a1</t>
  </si>
  <si>
    <t>'69873875</t>
  </si>
  <si>
    <t>solute carrier family 2 (facilitated glucose transporter), member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</si>
</sst>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b/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tabSelected="1" zoomScale="150" zoomScaleNormal="150" workbookViewId="0" topLeftCell="A1">
      <selection activeCell="F3" sqref="F3"/>
    </sheetView>
  </sheetViews>
  <sheetFormatPr defaultColWidth="9.140625" defaultRowHeight="12.75"/>
  <cols>
    <col min="1" max="3" width="9.00390625" style="0" customWidth="1"/>
    <col min="4" max="4" width="31.421875" style="0" customWidth="1"/>
    <col min="5" max="5" width="9.00390625" style="0" customWidth="1"/>
    <col min="6" max="6" width="14.00390625" style="0" customWidth="1"/>
    <col min="7" max="7" width="12.421875" style="0" customWidth="1"/>
    <col min="8" max="16384" width="11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>
        <v>0</v>
      </c>
      <c r="B2" t="s">
        <v>7</v>
      </c>
      <c r="C2" t="s">
        <v>8</v>
      </c>
      <c r="D2" t="s">
        <v>9</v>
      </c>
      <c r="E2">
        <v>53328</v>
      </c>
      <c r="F2" t="str">
        <f>HYPERLINK("http://mouse.brain-map.org/brain/Pgrmc1/797.html?ispopup=true","Series summary")</f>
        <v>Series summary</v>
      </c>
      <c r="G2" t="str">
        <f>HYPERLINK("http://mouse.brain-map.org/brain/Pgrmc1/797/thumbnails.html?ispopup=true","Thumbnails")</f>
        <v>Thumbnails</v>
      </c>
    </row>
    <row r="3" spans="1:7" ht="12.75">
      <c r="A3">
        <v>1</v>
      </c>
      <c r="B3" t="s">
        <v>10</v>
      </c>
      <c r="C3" t="s">
        <v>11</v>
      </c>
      <c r="D3" t="s">
        <v>12</v>
      </c>
      <c r="E3">
        <v>67712</v>
      </c>
      <c r="F3" t="str">
        <f>HYPERLINK("http://mouse.brain-map.org/brain/Slc25a37/68445000.html?ispopup=true","Series summary")</f>
        <v>Series summary</v>
      </c>
      <c r="G3" t="str">
        <f>HYPERLINK("http://mouse.brain-map.org/brain/Slc25a37/68445000/thumbnails.html?ispopup=true","Thumbnails")</f>
        <v>Thumbnails</v>
      </c>
    </row>
    <row r="4" spans="1:7" ht="12.75">
      <c r="A4">
        <v>2</v>
      </c>
      <c r="B4" t="s">
        <v>13</v>
      </c>
      <c r="C4" t="s">
        <v>14</v>
      </c>
      <c r="D4" t="s">
        <v>15</v>
      </c>
      <c r="E4">
        <v>18545</v>
      </c>
      <c r="F4" t="str">
        <f>HYPERLINK("http://mouse.brain-map.org/brain/Pcp2/77413702.html?ispopup=true","Series summary")</f>
        <v>Series summary</v>
      </c>
      <c r="G4" t="str">
        <f>HYPERLINK("http://mouse.brain-map.org/brain/Pcp2/77413702/thumbnails.html?ispopup=true","Thumbnails")</f>
        <v>Thumbnails</v>
      </c>
    </row>
    <row r="5" spans="1:7" ht="12.75">
      <c r="A5">
        <v>3</v>
      </c>
      <c r="B5" t="s">
        <v>16</v>
      </c>
      <c r="C5" t="s">
        <v>17</v>
      </c>
      <c r="D5" t="s">
        <v>18</v>
      </c>
      <c r="E5">
        <v>14427</v>
      </c>
      <c r="F5" t="str">
        <f>HYPERLINK("http://mouse.brain-map.org/brain/Galr1/80514053.html?ispopup=true","Series summary")</f>
        <v>Series summary</v>
      </c>
      <c r="G5" t="str">
        <f>HYPERLINK("http://mouse.brain-map.org/brain/Galr1/80514053/thumbnails.html?ispopup=true","Thumbnails")</f>
        <v>Thumbnails</v>
      </c>
    </row>
    <row r="6" spans="1:7" ht="12.75">
      <c r="A6">
        <v>4</v>
      </c>
      <c r="B6" t="s">
        <v>19</v>
      </c>
      <c r="C6" t="s">
        <v>20</v>
      </c>
      <c r="D6" t="s">
        <v>21</v>
      </c>
      <c r="E6">
        <v>67334</v>
      </c>
      <c r="F6" t="str">
        <f>HYPERLINK("http://mouse.brain-map.org/brain/1700054O13Rik/69117086.html?ispopup=true","Series summary")</f>
        <v>Series summary</v>
      </c>
      <c r="G6" t="str">
        <f>HYPERLINK("http://mouse.brain-map.org/brain/1700054O13Rik/69117086/thumbnails.html?ispopup=true","Thumbnails")</f>
        <v>Thumbnails</v>
      </c>
    </row>
    <row r="7" spans="1:7" ht="12.75">
      <c r="A7">
        <v>5</v>
      </c>
      <c r="B7" t="s">
        <v>22</v>
      </c>
      <c r="C7" t="s">
        <v>23</v>
      </c>
      <c r="D7" t="s">
        <v>24</v>
      </c>
      <c r="E7">
        <v>228730</v>
      </c>
      <c r="F7" t="str">
        <f>HYPERLINK("http://mouse.brain-map.org/brain/Gm114/70295882.html?ispopup=true","Series summary")</f>
        <v>Series summary</v>
      </c>
      <c r="G7" t="str">
        <f>HYPERLINK("http://mouse.brain-map.org/brain/Gm114/70295882/thumbnails.html?ispopup=true","Thumbnails")</f>
        <v>Thumbnails</v>
      </c>
    </row>
    <row r="8" spans="1:7" ht="12.75">
      <c r="A8">
        <v>6</v>
      </c>
      <c r="B8" t="s">
        <v>25</v>
      </c>
      <c r="C8" t="s">
        <v>26</v>
      </c>
      <c r="D8" t="s">
        <v>27</v>
      </c>
      <c r="E8">
        <v>116904</v>
      </c>
      <c r="F8" t="str">
        <f>HYPERLINK("http://mouse.brain-map.org/brain/Alpk3/71574473.html?ispopup=true","Series summary")</f>
        <v>Series summary</v>
      </c>
      <c r="G8" t="str">
        <f>HYPERLINK("http://mouse.brain-map.org/brain/Alpk3/71574473/thumbnails.html?ispopup=true","Thumbnails")</f>
        <v>Thumbnails</v>
      </c>
    </row>
    <row r="9" spans="1:7" ht="12.75">
      <c r="A9">
        <v>7</v>
      </c>
      <c r="B9" t="s">
        <v>28</v>
      </c>
      <c r="C9" t="s">
        <v>29</v>
      </c>
      <c r="D9" t="s">
        <v>30</v>
      </c>
      <c r="E9">
        <v>242384</v>
      </c>
      <c r="F9" t="str">
        <f>HYPERLINK("http://mouse.brain-map.org/brain/Lrrn6c/72128919.html?ispopup=true","Series summary")</f>
        <v>Series summary</v>
      </c>
      <c r="G9" t="str">
        <f>HYPERLINK("http://mouse.brain-map.org/brain/Lrrn6c/72128919/thumbnails.html?ispopup=true","Thumbnails")</f>
        <v>Thumbnails</v>
      </c>
    </row>
    <row r="10" spans="1:7" ht="12.75">
      <c r="A10">
        <v>8</v>
      </c>
      <c r="B10" t="s">
        <v>31</v>
      </c>
      <c r="C10" t="s">
        <v>32</v>
      </c>
      <c r="D10" t="s">
        <v>33</v>
      </c>
      <c r="E10">
        <v>195726</v>
      </c>
      <c r="F10" t="str">
        <f>HYPERLINK("http://mouse.brain-map.org/brain/Gm47/70565879.html?ispopup=true","Series summary")</f>
        <v>Series summary</v>
      </c>
      <c r="G10" t="str">
        <f>HYPERLINK("http://mouse.brain-map.org/brain/Gm47/70565879/thumbnails.html?ispopup=true","Thumbnails")</f>
        <v>Thumbnails</v>
      </c>
    </row>
    <row r="11" spans="1:7" ht="12.75">
      <c r="A11">
        <v>9</v>
      </c>
      <c r="B11" t="s">
        <v>34</v>
      </c>
      <c r="C11" t="s">
        <v>35</v>
      </c>
      <c r="D11" t="s">
        <v>36</v>
      </c>
      <c r="E11">
        <v>240058</v>
      </c>
      <c r="F11" t="str">
        <f>HYPERLINK("http://mouse.brain-map.org/brain/Cpne5/544709.html?ispopup=true","Series summary")</f>
        <v>Series summary</v>
      </c>
      <c r="G11" t="str">
        <f>HYPERLINK("http://mouse.brain-map.org/brain/Cpne5/544709/thumbnails.html?ispopup=true","Thumbnails")</f>
        <v>Thumbnails</v>
      </c>
    </row>
    <row r="12" spans="1:7" ht="12.75">
      <c r="A12">
        <v>10</v>
      </c>
      <c r="B12" t="s">
        <v>37</v>
      </c>
      <c r="C12" t="s">
        <v>38</v>
      </c>
      <c r="D12" t="s">
        <v>39</v>
      </c>
      <c r="E12">
        <v>18101</v>
      </c>
      <c r="F12" t="str">
        <f>HYPERLINK("http://mouse.brain-map.org/brain/Nmbr/77332086.html?ispopup=true","Series summary")</f>
        <v>Series summary</v>
      </c>
      <c r="G12" t="str">
        <f>HYPERLINK("http://mouse.brain-map.org/brain/Nmbr/77332086/thumbnails.html?ispopup=true","Thumbnails")</f>
        <v>Thumbnails</v>
      </c>
    </row>
    <row r="13" spans="1:7" ht="12.75">
      <c r="A13">
        <v>11</v>
      </c>
      <c r="B13" t="s">
        <v>40</v>
      </c>
      <c r="C13" t="s">
        <v>41</v>
      </c>
      <c r="D13" t="s">
        <v>42</v>
      </c>
      <c r="E13">
        <v>212085</v>
      </c>
      <c r="F13" t="str">
        <f>HYPERLINK("http://mouse.brain-map.org/brain/Trim52/70205626.html?ispopup=true","Series summary")</f>
        <v>Series summary</v>
      </c>
      <c r="G13" t="str">
        <f>HYPERLINK("http://mouse.brain-map.org/brain/Trim52/70205626/thumbnails.html?ispopup=true","Thumbnails")</f>
        <v>Thumbnails</v>
      </c>
    </row>
    <row r="14" spans="1:7" ht="12.75">
      <c r="A14">
        <v>12</v>
      </c>
      <c r="B14" t="s">
        <v>43</v>
      </c>
      <c r="C14" t="s">
        <v>44</v>
      </c>
      <c r="D14" t="s">
        <v>45</v>
      </c>
      <c r="E14">
        <v>102502</v>
      </c>
      <c r="F14" t="str">
        <f>HYPERLINK("http://mouse.brain-map.org/brain/AI427122/71495698.html?ispopup=true","Series summary")</f>
        <v>Series summary</v>
      </c>
      <c r="G14" t="str">
        <f>HYPERLINK("http://mouse.brain-map.org/brain/AI427122/71495698/thumbnails.html?ispopup=true","Thumbnails")</f>
        <v>Thumbnails</v>
      </c>
    </row>
    <row r="15" spans="1:7" ht="12.75">
      <c r="A15">
        <v>13</v>
      </c>
      <c r="B15" t="s">
        <v>46</v>
      </c>
      <c r="C15" t="s">
        <v>47</v>
      </c>
      <c r="D15" t="s">
        <v>48</v>
      </c>
      <c r="E15">
        <v>70129</v>
      </c>
      <c r="F15" t="str">
        <f>HYPERLINK("http://mouse.brain-map.org/brain/Slc44a4/68321886.html?ispopup=true","Series summary")</f>
        <v>Series summary</v>
      </c>
      <c r="G15" t="str">
        <f>HYPERLINK("http://mouse.brain-map.org/brain/Slc44a4/68321886/thumbnails.html?ispopup=true","Thumbnails")</f>
        <v>Thumbnails</v>
      </c>
    </row>
    <row r="16" spans="1:7" ht="12.75">
      <c r="A16">
        <v>14</v>
      </c>
      <c r="B16" t="s">
        <v>49</v>
      </c>
      <c r="C16" t="s">
        <v>50</v>
      </c>
      <c r="D16" t="s">
        <v>51</v>
      </c>
      <c r="E16">
        <v>18187</v>
      </c>
      <c r="F16" t="str">
        <f>HYPERLINK("http://mouse.brain-map.org/brain/Nrp2/80514091.html?ispopup=true","Series summary")</f>
        <v>Series summary</v>
      </c>
      <c r="G16" t="str">
        <f>HYPERLINK("http://mouse.brain-map.org/brain/Nrp2/80514091/thumbnails.html?ispopup=true","Thumbnails")</f>
        <v>Thumbnails</v>
      </c>
    </row>
    <row r="17" spans="1:7" ht="12.75">
      <c r="A17">
        <v>15</v>
      </c>
      <c r="B17" t="s">
        <v>52</v>
      </c>
      <c r="C17" t="s">
        <v>53</v>
      </c>
      <c r="D17" t="s">
        <v>54</v>
      </c>
      <c r="E17">
        <v>11745</v>
      </c>
      <c r="F17" t="str">
        <f>HYPERLINK("http://mouse.brain-map.org/brain/Anxa3/69526665.html?ispopup=true","Series summary")</f>
        <v>Series summary</v>
      </c>
      <c r="G17" t="str">
        <f>HYPERLINK("http://mouse.brain-map.org/brain/Anxa3/69526665/thumbnails.html?ispopup=true","Thumbnails")</f>
        <v>Thumbnails</v>
      </c>
    </row>
    <row r="18" spans="1:7" ht="12.75">
      <c r="A18">
        <v>16</v>
      </c>
      <c r="B18" t="s">
        <v>55</v>
      </c>
      <c r="C18" t="s">
        <v>56</v>
      </c>
      <c r="D18" t="s">
        <v>57</v>
      </c>
      <c r="E18" t="s">
        <v>58</v>
      </c>
      <c r="F18" t="str">
        <f>HYPERLINK("http://mouse.brain-map.org/brain/A930033C23Rik*/74300717.html?ispopup=true","Series summary")</f>
        <v>Series summary</v>
      </c>
      <c r="G18" t="str">
        <f>HYPERLINK("http://mouse.brain-map.org/brain/A930033C23Rik*/74300717/thumbnails.html?ispopup=true","Thumbnails")</f>
        <v>Thumbnails</v>
      </c>
    </row>
    <row r="19" spans="1:7" ht="12.75">
      <c r="A19">
        <v>17</v>
      </c>
      <c r="B19" t="s">
        <v>59</v>
      </c>
      <c r="C19" t="s">
        <v>60</v>
      </c>
      <c r="D19" t="s">
        <v>61</v>
      </c>
      <c r="E19">
        <v>21334</v>
      </c>
      <c r="F19" t="str">
        <f>HYPERLINK("http://mouse.brain-map.org/brain/Tac2/77279001.html?ispopup=true","Series summary")</f>
        <v>Series summary</v>
      </c>
      <c r="G19" t="str">
        <f>HYPERLINK("http://mouse.brain-map.org/brain/Tac2/77279001/thumbnails.html?ispopup=true","Thumbnails")</f>
        <v>Thumbnails</v>
      </c>
    </row>
    <row r="20" spans="1:7" ht="12.75">
      <c r="A20">
        <v>18</v>
      </c>
      <c r="B20" t="s">
        <v>62</v>
      </c>
      <c r="C20" t="s">
        <v>63</v>
      </c>
      <c r="D20" t="s">
        <v>64</v>
      </c>
      <c r="E20">
        <v>239126</v>
      </c>
      <c r="F20" t="str">
        <f>HYPERLINK("http://mouse.brain-map.org/brain/C1qtnf9/70228041.html?ispopup=true","Series summary")</f>
        <v>Series summary</v>
      </c>
      <c r="G20" t="str">
        <f>HYPERLINK("http://mouse.brain-map.org/brain/C1qtnf9/70228041/thumbnails.html?ispopup=true","Thumbnails")</f>
        <v>Thumbnails</v>
      </c>
    </row>
    <row r="21" spans="1:7" ht="12.75">
      <c r="A21">
        <v>19</v>
      </c>
      <c r="B21" t="s">
        <v>65</v>
      </c>
      <c r="C21" t="s">
        <v>66</v>
      </c>
      <c r="D21" t="s">
        <v>67</v>
      </c>
      <c r="E21">
        <v>170643</v>
      </c>
      <c r="F21" t="str">
        <f>HYPERLINK("http://mouse.brain-map.org/brain/Kirrel1/71613657.html?ispopup=true","Series summary")</f>
        <v>Series summary</v>
      </c>
      <c r="G21" t="str">
        <f>HYPERLINK("http://mouse.brain-map.org/brain/Kirrel1/71613657/thumbnails.html?ispopup=true","Thumbnails")</f>
        <v>Thumbnails</v>
      </c>
    </row>
    <row r="22" spans="1:7" ht="12.75">
      <c r="A22">
        <v>20</v>
      </c>
      <c r="B22" t="s">
        <v>68</v>
      </c>
      <c r="C22" t="s">
        <v>69</v>
      </c>
      <c r="D22" t="s">
        <v>70</v>
      </c>
      <c r="E22">
        <v>239336</v>
      </c>
      <c r="F22" t="str">
        <f>HYPERLINK("http://mouse.brain-map.org/brain/Rxfp3/80342202.html?ispopup=true","Series summary")</f>
        <v>Series summary</v>
      </c>
      <c r="G22" t="str">
        <f>HYPERLINK("http://mouse.brain-map.org/brain/Rxfp3/80342202/thumbnails.html?ispopup=true","Thumbnails")</f>
        <v>Thumbnails</v>
      </c>
    </row>
    <row r="23" spans="1:7" ht="12.75">
      <c r="A23">
        <v>21</v>
      </c>
      <c r="B23" t="s">
        <v>71</v>
      </c>
      <c r="C23" t="s">
        <v>72</v>
      </c>
      <c r="D23" t="s">
        <v>73</v>
      </c>
      <c r="E23">
        <v>22318</v>
      </c>
      <c r="F23" t="str">
        <f>HYPERLINK("http://mouse.brain-map.org/brain/Vamp2/1093.html?ispopup=true","Series summary")</f>
        <v>Series summary</v>
      </c>
      <c r="G23" t="str">
        <f>HYPERLINK("http://mouse.brain-map.org/brain/Vamp2/1093/thumbnails.html?ispopup=true","Thumbnails")</f>
        <v>Thumbnails</v>
      </c>
    </row>
    <row r="24" spans="1:7" ht="12.75">
      <c r="A24">
        <v>22</v>
      </c>
      <c r="B24" t="s">
        <v>74</v>
      </c>
      <c r="C24" t="s">
        <v>75</v>
      </c>
      <c r="D24" t="s">
        <v>76</v>
      </c>
      <c r="E24">
        <v>19739</v>
      </c>
      <c r="F24" t="str">
        <f>HYPERLINK("http://mouse.brain-map.org/brain/Rgs9/73521819.html?ispopup=true","Series summary")</f>
        <v>Series summary</v>
      </c>
      <c r="G24" t="str">
        <f>HYPERLINK("http://mouse.brain-map.org/brain/Rgs9/73521819/thumbnails.html?ispopup=true","Thumbnails")</f>
        <v>Thumbnails</v>
      </c>
    </row>
    <row r="25" spans="1:7" ht="12.75">
      <c r="A25">
        <v>23</v>
      </c>
      <c r="B25" t="s">
        <v>77</v>
      </c>
      <c r="C25" t="s">
        <v>78</v>
      </c>
      <c r="D25" t="s">
        <v>79</v>
      </c>
      <c r="E25">
        <v>218695</v>
      </c>
      <c r="F25" t="str">
        <f>HYPERLINK("http://mouse.brain-map.org/brain/LOC218695/70725001.html?ispopup=true","Series summary")</f>
        <v>Series summary</v>
      </c>
      <c r="G25" t="str">
        <f>HYPERLINK("http://mouse.brain-map.org/brain/LOC218695/70725001/thumbnails.html?ispopup=true","Thumbnails")</f>
        <v>Thumbnails</v>
      </c>
    </row>
    <row r="26" spans="1:7" ht="12.75">
      <c r="A26">
        <v>24</v>
      </c>
      <c r="B26" t="s">
        <v>80</v>
      </c>
      <c r="C26" t="s">
        <v>81</v>
      </c>
      <c r="D26" t="s">
        <v>82</v>
      </c>
      <c r="E26">
        <v>22138</v>
      </c>
      <c r="F26" t="str">
        <f>HYPERLINK("http://mouse.brain-map.org/brain/Ttn/74047746.html?ispopup=true","Series summary")</f>
        <v>Series summary</v>
      </c>
      <c r="G26" t="str">
        <f>HYPERLINK("http://mouse.brain-map.org/brain/Ttn/74047746/thumbnails.html?ispopup=true","Thumbnails")</f>
        <v>Thumbnails</v>
      </c>
    </row>
    <row r="27" spans="1:7" ht="12.75">
      <c r="A27">
        <v>25</v>
      </c>
      <c r="B27" t="s">
        <v>83</v>
      </c>
      <c r="C27" t="s">
        <v>84</v>
      </c>
      <c r="D27" t="s">
        <v>85</v>
      </c>
      <c r="E27">
        <v>320292</v>
      </c>
      <c r="F27" t="str">
        <f>HYPERLINK("http://mouse.brain-map.org/brain/Rasgef1b/71358553.html?ispopup=true","Series summary")</f>
        <v>Series summary</v>
      </c>
      <c r="G27" t="str">
        <f>HYPERLINK("http://mouse.brain-map.org/brain/Rasgef1b/71358553/thumbnails.html?ispopup=true","Thumbnails")</f>
        <v>Thumbnails</v>
      </c>
    </row>
    <row r="28" spans="1:7" ht="12.75">
      <c r="A28">
        <v>26</v>
      </c>
      <c r="B28" t="s">
        <v>86</v>
      </c>
      <c r="C28" t="s">
        <v>87</v>
      </c>
      <c r="D28" t="s">
        <v>88</v>
      </c>
      <c r="E28">
        <v>13618</v>
      </c>
      <c r="F28" t="str">
        <f>HYPERLINK("http://mouse.brain-map.org/brain/Ednrb/70431307.html?ispopup=true","Series summary")</f>
        <v>Series summary</v>
      </c>
      <c r="G28" t="str">
        <f>HYPERLINK("http://mouse.brain-map.org/brain/Ednrb/70431307/thumbnails.html?ispopup=true","Thumbnails")</f>
        <v>Thumbnails</v>
      </c>
    </row>
    <row r="29" spans="1:7" ht="12.75">
      <c r="A29">
        <v>27</v>
      </c>
      <c r="B29" t="s">
        <v>89</v>
      </c>
      <c r="C29" t="s">
        <v>90</v>
      </c>
      <c r="D29" t="s">
        <v>91</v>
      </c>
      <c r="E29">
        <v>14734</v>
      </c>
      <c r="F29" t="str">
        <f>HYPERLINK("http://mouse.brain-map.org/brain/Gpc3/71020431.html?ispopup=true","Series summary")</f>
        <v>Series summary</v>
      </c>
      <c r="G29" t="str">
        <f>HYPERLINK("http://mouse.brain-map.org/brain/Gpc3/71020431/thumbnails.html?ispopup=true","Thumbnails")</f>
        <v>Thumbnails</v>
      </c>
    </row>
    <row r="30" spans="1:7" ht="12.75">
      <c r="A30">
        <v>28</v>
      </c>
      <c r="B30" t="s">
        <v>92</v>
      </c>
      <c r="C30" t="s">
        <v>93</v>
      </c>
      <c r="D30" t="s">
        <v>94</v>
      </c>
      <c r="E30">
        <v>66643</v>
      </c>
      <c r="F30" t="str">
        <f>HYPERLINK("http://mouse.brain-map.org/brain/Lix1/643.html?ispopup=true","Series summary")</f>
        <v>Series summary</v>
      </c>
      <c r="G30" t="str">
        <f>HYPERLINK("http://mouse.brain-map.org/brain/Lix1/643/thumbnails.html?ispopup=true","Thumbnails")</f>
        <v>Thumbnails</v>
      </c>
    </row>
    <row r="31" spans="1:7" ht="12.75">
      <c r="A31">
        <v>29</v>
      </c>
      <c r="B31" t="s">
        <v>95</v>
      </c>
      <c r="C31" t="s">
        <v>96</v>
      </c>
      <c r="D31" t="s">
        <v>97</v>
      </c>
      <c r="E31">
        <v>21452</v>
      </c>
      <c r="F31" t="str">
        <f>HYPERLINK("http://mouse.brain-map.org/brain/Tcn2/71924389.html?ispopup=true","Series summary")</f>
        <v>Series summary</v>
      </c>
      <c r="G31" t="str">
        <f>HYPERLINK("http://mouse.brain-map.org/brain/Tcn2/71924389/thumbnails.html?ispopup=true","Thumbnails")</f>
        <v>Thumbnails</v>
      </c>
    </row>
    <row r="32" spans="1:7" ht="12.75">
      <c r="A32">
        <v>30</v>
      </c>
      <c r="B32" t="s">
        <v>98</v>
      </c>
      <c r="C32" t="s">
        <v>99</v>
      </c>
      <c r="D32" t="s">
        <v>100</v>
      </c>
      <c r="E32">
        <v>57279</v>
      </c>
      <c r="F32" t="str">
        <f>HYPERLINK("http://mouse.brain-map.org/brain/Slc25a20/68638005.html?ispopup=true","Series summary")</f>
        <v>Series summary</v>
      </c>
      <c r="G32" t="str">
        <f>HYPERLINK("http://mouse.brain-map.org/brain/Slc25a20/68638005/thumbnails.html?ispopup=true","Thumbnails")</f>
        <v>Thumbnails</v>
      </c>
    </row>
    <row r="33" spans="1:7" ht="12.75">
      <c r="A33">
        <v>31</v>
      </c>
      <c r="B33" t="s">
        <v>101</v>
      </c>
      <c r="C33" t="s">
        <v>102</v>
      </c>
      <c r="D33" t="s">
        <v>103</v>
      </c>
      <c r="E33">
        <v>403171</v>
      </c>
      <c r="F33" t="str">
        <f>HYPERLINK("http://mouse.brain-map.org/brain/4930517K23Rik/69114168.html?ispopup=true","Series summary")</f>
        <v>Series summary</v>
      </c>
      <c r="G33" t="str">
        <f>HYPERLINK("http://mouse.brain-map.org/brain/4930517K23Rik/69114168/thumbnails.html?ispopup=true","Thumbnails")</f>
        <v>Thumbnails</v>
      </c>
    </row>
    <row r="34" spans="1:7" ht="12.75">
      <c r="A34">
        <v>32</v>
      </c>
      <c r="B34" t="s">
        <v>104</v>
      </c>
      <c r="C34" t="s">
        <v>105</v>
      </c>
      <c r="D34" t="s">
        <v>106</v>
      </c>
      <c r="E34">
        <v>17868</v>
      </c>
      <c r="F34" t="str">
        <f>HYPERLINK("http://mouse.brain-map.org/brain/Mybpc3/77455149.html?ispopup=true","Series summary")</f>
        <v>Series summary</v>
      </c>
      <c r="G34" t="str">
        <f>HYPERLINK("http://mouse.brain-map.org/brain/Mybpc3/77455149/thumbnails.html?ispopup=true","Thumbnails")</f>
        <v>Thumbnails</v>
      </c>
    </row>
    <row r="35" spans="1:7" ht="12.75">
      <c r="A35">
        <v>33</v>
      </c>
      <c r="B35" t="s">
        <v>107</v>
      </c>
      <c r="C35" t="s">
        <v>108</v>
      </c>
      <c r="D35" t="s">
        <v>109</v>
      </c>
      <c r="E35">
        <v>70693</v>
      </c>
      <c r="F35" t="str">
        <f>HYPERLINK("http://mouse.brain-map.org/brain/Gpr125/74988700.html?ispopup=true","Series summary")</f>
        <v>Series summary</v>
      </c>
      <c r="G35" t="str">
        <f>HYPERLINK("http://mouse.brain-map.org/brain/Gpr125/74988700/thumbnails.html?ispopup=true","Thumbnails")</f>
        <v>Thumbnails</v>
      </c>
    </row>
    <row r="36" spans="1:7" ht="12.75">
      <c r="A36">
        <v>34</v>
      </c>
      <c r="B36" t="s">
        <v>110</v>
      </c>
      <c r="C36" t="s">
        <v>111</v>
      </c>
      <c r="D36" t="s">
        <v>112</v>
      </c>
      <c r="E36">
        <v>20872</v>
      </c>
      <c r="F36" t="str">
        <f>HYPERLINK("http://mouse.brain-map.org/brain/Stk16/68080710.html?ispopup=true","Series summary")</f>
        <v>Series summary</v>
      </c>
      <c r="G36" t="str">
        <f>HYPERLINK("http://mouse.brain-map.org/brain/Stk16/68080710/thumbnails.html?ispopup=true","Thumbnails")</f>
        <v>Thumbnails</v>
      </c>
    </row>
    <row r="37" spans="1:7" ht="12.75">
      <c r="A37">
        <v>35</v>
      </c>
      <c r="B37" t="s">
        <v>113</v>
      </c>
      <c r="C37" t="s">
        <v>114</v>
      </c>
      <c r="D37" t="s">
        <v>115</v>
      </c>
      <c r="E37">
        <v>50780</v>
      </c>
      <c r="F37" t="str">
        <f>HYPERLINK("http://mouse.brain-map.org/brain/Rgs3/1822.html?ispopup=true","Series summary")</f>
        <v>Series summary</v>
      </c>
      <c r="G37" t="str">
        <f>HYPERLINK("http://mouse.brain-map.org/brain/Rgs3/1822/thumbnails.html?ispopup=true","Thumbnails")</f>
        <v>Thumbnails</v>
      </c>
    </row>
    <row r="38" spans="1:7" ht="12.75">
      <c r="A38">
        <v>36</v>
      </c>
      <c r="B38" t="s">
        <v>116</v>
      </c>
      <c r="C38" t="s">
        <v>117</v>
      </c>
      <c r="D38" t="s">
        <v>118</v>
      </c>
      <c r="E38">
        <v>14702</v>
      </c>
      <c r="F38" t="str">
        <f>HYPERLINK("http://mouse.brain-map.org/brain/Gng2/77414160.html?ispopup=true","Series summary")</f>
        <v>Series summary</v>
      </c>
      <c r="G38" t="str">
        <f>HYPERLINK("http://mouse.brain-map.org/brain/Gng2/77414160/thumbnails.html?ispopup=true","Thumbnails")</f>
        <v>Thumbnails</v>
      </c>
    </row>
    <row r="39" spans="1:7" ht="12.75">
      <c r="A39">
        <v>37</v>
      </c>
      <c r="B39" t="s">
        <v>119</v>
      </c>
      <c r="C39" t="s">
        <v>120</v>
      </c>
      <c r="D39" t="s">
        <v>121</v>
      </c>
      <c r="E39">
        <v>52793</v>
      </c>
      <c r="F39" t="str">
        <f>HYPERLINK("http://mouse.brain-map.org/brain/ORF9/74580865.html?ispopup=true","Series summary")</f>
        <v>Series summary</v>
      </c>
      <c r="G39" t="str">
        <f>HYPERLINK("http://mouse.brain-map.org/brain/ORF9/74580865/thumbnails.html?ispopup=true","Thumbnails")</f>
        <v>Thumbnails</v>
      </c>
    </row>
    <row r="40" spans="1:7" ht="12.75">
      <c r="A40">
        <v>38</v>
      </c>
      <c r="B40" t="s">
        <v>122</v>
      </c>
      <c r="C40" t="s">
        <v>123</v>
      </c>
      <c r="D40" t="s">
        <v>124</v>
      </c>
      <c r="E40">
        <v>18145</v>
      </c>
      <c r="F40" t="str">
        <f>HYPERLINK("http://mouse.brain-map.org/brain/Npc1/71234644.html?ispopup=true","Series summary")</f>
        <v>Series summary</v>
      </c>
      <c r="G40" t="str">
        <f>HYPERLINK("http://mouse.brain-map.org/brain/Npc1/71234644/thumbnails.html?ispopup=true","Thumbnails")</f>
        <v>Thumbnails</v>
      </c>
    </row>
    <row r="41" spans="1:7" ht="12.75">
      <c r="A41">
        <v>39</v>
      </c>
      <c r="B41" t="s">
        <v>125</v>
      </c>
      <c r="C41" t="s">
        <v>126</v>
      </c>
      <c r="D41" t="s">
        <v>127</v>
      </c>
      <c r="E41">
        <v>66715</v>
      </c>
      <c r="F41" t="str">
        <f>HYPERLINK("http://mouse.brain-map.org/brain/4921515J06Rik/69407821.html?ispopup=true","Series summary")</f>
        <v>Series summary</v>
      </c>
      <c r="G41" t="str">
        <f>HYPERLINK("http://mouse.brain-map.org/brain/4921515J06Rik/69407821/thumbnails.html?ispopup=true","Thumbnails")</f>
        <v>Thumbnails</v>
      </c>
    </row>
    <row r="42" spans="1:7" ht="12.75">
      <c r="A42">
        <v>40</v>
      </c>
      <c r="B42" t="s">
        <v>128</v>
      </c>
      <c r="C42" t="s">
        <v>129</v>
      </c>
      <c r="D42" t="s">
        <v>130</v>
      </c>
      <c r="E42">
        <v>270156</v>
      </c>
      <c r="F42" t="str">
        <f>HYPERLINK("http://mouse.brain-map.org/brain/AU019823/77465050.html?ispopup=true","Series summary")</f>
        <v>Series summary</v>
      </c>
      <c r="G42" t="str">
        <f>HYPERLINK("http://mouse.brain-map.org/brain/AU019823/77465050/thumbnails.html?ispopup=true","Thumbnails")</f>
        <v>Thumbnails</v>
      </c>
    </row>
    <row r="43" spans="1:7" ht="12.75">
      <c r="A43">
        <v>41</v>
      </c>
      <c r="B43" t="s">
        <v>131</v>
      </c>
      <c r="C43" t="s">
        <v>132</v>
      </c>
      <c r="D43" t="s">
        <v>133</v>
      </c>
      <c r="E43">
        <v>19279</v>
      </c>
      <c r="F43" t="str">
        <f>HYPERLINK("http://mouse.brain-map.org/brain/Ptprr/74882784.html?ispopup=true","Series summary")</f>
        <v>Series summary</v>
      </c>
      <c r="G43" t="str">
        <f>HYPERLINK("http://mouse.brain-map.org/brain/Ptprr/74882784/thumbnails.html?ispopup=true","Thumbnails")</f>
        <v>Thumbnails</v>
      </c>
    </row>
    <row r="44" spans="1:7" ht="12.75">
      <c r="A44">
        <v>42</v>
      </c>
      <c r="B44" t="s">
        <v>134</v>
      </c>
      <c r="C44" t="s">
        <v>135</v>
      </c>
      <c r="D44" t="s">
        <v>136</v>
      </c>
      <c r="E44">
        <v>210962</v>
      </c>
      <c r="F44" t="str">
        <f>HYPERLINK("http://mouse.brain-map.org/brain/Gm597/70295620.html?ispopup=true","Series summary")</f>
        <v>Series summary</v>
      </c>
      <c r="G44" t="str">
        <f>HYPERLINK("http://mouse.brain-map.org/brain/Gm597/70295620/thumbnails.html?ispopup=true","Thumbnails")</f>
        <v>Thumbnails</v>
      </c>
    </row>
    <row r="45" spans="1:7" ht="12.75">
      <c r="A45">
        <v>43</v>
      </c>
      <c r="B45" t="s">
        <v>137</v>
      </c>
      <c r="C45" t="s">
        <v>138</v>
      </c>
      <c r="D45" t="s">
        <v>139</v>
      </c>
      <c r="E45">
        <v>22045</v>
      </c>
      <c r="F45" t="str">
        <f>HYPERLINK("http://mouse.brain-map.org/brain/Trhr/79913245.html?ispopup=true","Series summary")</f>
        <v>Series summary</v>
      </c>
      <c r="G45" t="str">
        <f>HYPERLINK("http://mouse.brain-map.org/brain/Trhr/79913245/thumbnails.html?ispopup=true","Thumbnails")</f>
        <v>Thumbnails</v>
      </c>
    </row>
    <row r="46" spans="1:7" ht="12.75">
      <c r="A46">
        <v>44</v>
      </c>
      <c r="B46" t="s">
        <v>140</v>
      </c>
      <c r="C46" t="s">
        <v>141</v>
      </c>
      <c r="D46" t="s">
        <v>142</v>
      </c>
      <c r="E46">
        <v>270190</v>
      </c>
      <c r="F46" t="str">
        <f>HYPERLINK("http://mouse.brain-map.org/brain/Ephb1/79677367.html?ispopup=true","Series summary")</f>
        <v>Series summary</v>
      </c>
      <c r="G46" t="str">
        <f>HYPERLINK("http://mouse.brain-map.org/brain/Ephb1/79677367/thumbnails.html?ispopup=true","Thumbnails")</f>
        <v>Thumbnails</v>
      </c>
    </row>
    <row r="47" spans="1:7" ht="12.75">
      <c r="A47">
        <v>45</v>
      </c>
      <c r="B47" t="s">
        <v>143</v>
      </c>
      <c r="C47" t="s">
        <v>144</v>
      </c>
      <c r="D47" t="s">
        <v>145</v>
      </c>
      <c r="E47">
        <v>78076</v>
      </c>
      <c r="F47" t="str">
        <f>HYPERLINK("http://mouse.brain-map.org/brain/Lcn8/69114492.html?ispopup=true","Series summary")</f>
        <v>Series summary</v>
      </c>
      <c r="G47" t="str">
        <f>HYPERLINK("http://mouse.brain-map.org/brain/Lcn8/69114492/thumbnails.html?ispopup=true","Thumbnails")</f>
        <v>Thumbnails</v>
      </c>
    </row>
    <row r="48" spans="1:7" ht="12.75">
      <c r="A48">
        <v>46</v>
      </c>
      <c r="B48" t="s">
        <v>146</v>
      </c>
      <c r="C48" t="s">
        <v>147</v>
      </c>
      <c r="D48" t="s">
        <v>148</v>
      </c>
      <c r="E48">
        <v>241489</v>
      </c>
      <c r="F48" t="str">
        <f>HYPERLINK("http://mouse.brain-map.org/brain/Pde11a/75081007.html?ispopup=true","Series summary")</f>
        <v>Series summary</v>
      </c>
      <c r="G48" t="str">
        <f>HYPERLINK("http://mouse.brain-map.org/brain/Pde11a/75081007/thumbnails.html?ispopup=true","Thumbnails")</f>
        <v>Thumbnails</v>
      </c>
    </row>
    <row r="49" spans="1:7" ht="12.75">
      <c r="A49">
        <v>47</v>
      </c>
      <c r="B49" t="s">
        <v>149</v>
      </c>
      <c r="C49" t="s">
        <v>150</v>
      </c>
      <c r="D49" t="s">
        <v>151</v>
      </c>
      <c r="E49">
        <v>223255</v>
      </c>
      <c r="F49" t="str">
        <f>HYPERLINK("http://mouse.brain-map.org/brain/Stk24/73635773.html?ispopup=true","Series summary")</f>
        <v>Series summary</v>
      </c>
      <c r="G49" t="str">
        <f>HYPERLINK("http://mouse.brain-map.org/brain/Stk24/73635773/thumbnails.html?ispopup=true","Thumbnails")</f>
        <v>Thumbnails</v>
      </c>
    </row>
    <row r="50" spans="1:7" ht="12.75">
      <c r="A50">
        <v>48</v>
      </c>
      <c r="B50" t="s">
        <v>152</v>
      </c>
      <c r="C50" t="s">
        <v>153</v>
      </c>
      <c r="D50" t="s">
        <v>154</v>
      </c>
      <c r="E50">
        <v>18003</v>
      </c>
      <c r="F50" t="str">
        <f>HYPERLINK("http://mouse.brain-map.org/brain/Nedd9/77790732.html?ispopup=true","Series summary")</f>
        <v>Series summary</v>
      </c>
      <c r="G50" t="str">
        <f>HYPERLINK("http://mouse.brain-map.org/brain/Nedd9/77790732/thumbnails.html?ispopup=true","Thumbnails")</f>
        <v>Thumbnails</v>
      </c>
    </row>
    <row r="51" spans="1:7" ht="12.75">
      <c r="A51">
        <v>49</v>
      </c>
      <c r="B51" t="s">
        <v>155</v>
      </c>
      <c r="C51" t="s">
        <v>156</v>
      </c>
      <c r="D51" t="s">
        <v>157</v>
      </c>
      <c r="E51">
        <v>319630</v>
      </c>
      <c r="F51" t="str">
        <f>HYPERLINK("http://mouse.brain-map.org/brain/A130014H13Rik/75041574.html?ispopup=true","Series summary")</f>
        <v>Series summary</v>
      </c>
      <c r="G51" t="str">
        <f>HYPERLINK("http://mouse.brain-map.org/brain/A130014H13Rik/75041574/thumbnails.html?ispopup=true","Thumbnails")</f>
        <v>Thumbnails</v>
      </c>
    </row>
    <row r="52" spans="1:7" ht="12.75">
      <c r="A52">
        <v>50</v>
      </c>
      <c r="B52" t="s">
        <v>158</v>
      </c>
      <c r="C52" t="s">
        <v>159</v>
      </c>
      <c r="D52" t="s">
        <v>160</v>
      </c>
      <c r="E52">
        <v>231549</v>
      </c>
      <c r="F52" t="str">
        <f>HYPERLINK("http://mouse.brain-map.org/brain/Lrrc8d/385997.html?ispopup=true","Series summary")</f>
        <v>Series summary</v>
      </c>
      <c r="G52" t="str">
        <f>HYPERLINK("http://mouse.brain-map.org/brain/Lrrc8d/385997/thumbnails.html?ispopup=true","Thumbnails")</f>
        <v>Thumbnails</v>
      </c>
    </row>
    <row r="53" spans="1:7" ht="12.75">
      <c r="A53">
        <v>51</v>
      </c>
      <c r="B53" t="s">
        <v>161</v>
      </c>
      <c r="C53" t="s">
        <v>162</v>
      </c>
      <c r="D53" t="s">
        <v>163</v>
      </c>
      <c r="E53">
        <v>58237</v>
      </c>
      <c r="F53" t="str">
        <f>HYPERLINK("http://mouse.brain-map.org/brain/C030019F02Rik/1474.html?ispopup=true","Series summary")</f>
        <v>Series summary</v>
      </c>
      <c r="G53" t="str">
        <f>HYPERLINK("http://mouse.brain-map.org/brain/C030019F02Rik/1474/thumbnails.html?ispopup=true","Thumbnails")</f>
        <v>Thumbnails</v>
      </c>
    </row>
    <row r="54" spans="1:7" ht="12.75">
      <c r="A54">
        <v>52</v>
      </c>
      <c r="B54" t="s">
        <v>164</v>
      </c>
      <c r="C54" t="s">
        <v>165</v>
      </c>
      <c r="D54" t="s">
        <v>166</v>
      </c>
      <c r="E54">
        <v>109620</v>
      </c>
      <c r="F54" t="str">
        <f>HYPERLINK("http://mouse.brain-map.org/brain/Dsp/76097696.html?ispopup=true","Series summary")</f>
        <v>Series summary</v>
      </c>
      <c r="G54" t="str">
        <f>HYPERLINK("http://mouse.brain-map.org/brain/Dsp/76097696/thumbnails.html?ispopup=true","Thumbnails")</f>
        <v>Thumbnails</v>
      </c>
    </row>
    <row r="55" spans="1:7" ht="12.75">
      <c r="A55">
        <v>53</v>
      </c>
      <c r="B55" t="s">
        <v>167</v>
      </c>
      <c r="C55" t="s">
        <v>168</v>
      </c>
      <c r="D55" t="s">
        <v>169</v>
      </c>
      <c r="E55">
        <v>226610</v>
      </c>
      <c r="F55" t="str">
        <f>HYPERLINK("http://mouse.brain-map.org/brain/C030014K22Rik/72472750.html?ispopup=true","Series summary")</f>
        <v>Series summary</v>
      </c>
      <c r="G55" t="str">
        <f>HYPERLINK("http://mouse.brain-map.org/brain/C030014K22Rik/72472750/thumbnails.html?ispopup=true","Thumbnails")</f>
        <v>Thumbnails</v>
      </c>
    </row>
    <row r="56" spans="1:7" ht="12.75">
      <c r="A56">
        <v>54</v>
      </c>
      <c r="B56" t="s">
        <v>170</v>
      </c>
      <c r="C56" t="s">
        <v>171</v>
      </c>
      <c r="D56" t="s">
        <v>172</v>
      </c>
      <c r="E56">
        <v>268391</v>
      </c>
      <c r="F56" t="str">
        <f>HYPERLINK("http://mouse.brain-map.org/brain/A830031A19Rik/74277746.html?ispopup=true","Series summary")</f>
        <v>Series summary</v>
      </c>
      <c r="G56" t="str">
        <f>HYPERLINK("http://mouse.brain-map.org/brain/A830031A19Rik/74277746/thumbnails.html?ispopup=true","Thumbnails")</f>
        <v>Thumbnails</v>
      </c>
    </row>
    <row r="57" spans="1:7" ht="12.75">
      <c r="A57">
        <v>55</v>
      </c>
      <c r="B57" t="s">
        <v>173</v>
      </c>
      <c r="C57" t="s">
        <v>174</v>
      </c>
      <c r="D57" t="s">
        <v>175</v>
      </c>
      <c r="E57">
        <v>107585</v>
      </c>
      <c r="F57" t="str">
        <f>HYPERLINK("http://mouse.brain-map.org/brain/Dio3/70238866.html?ispopup=true","Series summary")</f>
        <v>Series summary</v>
      </c>
      <c r="G57" t="str">
        <f>HYPERLINK("http://mouse.brain-map.org/brain/Dio3/70238866/thumbnails.html?ispopup=true","Thumbnails")</f>
        <v>Thumbnails</v>
      </c>
    </row>
    <row r="58" spans="1:7" ht="12.75">
      <c r="A58">
        <v>56</v>
      </c>
      <c r="B58" t="s">
        <v>176</v>
      </c>
      <c r="C58" t="s">
        <v>177</v>
      </c>
      <c r="D58" t="s">
        <v>178</v>
      </c>
      <c r="E58">
        <v>101359</v>
      </c>
      <c r="F58" t="str">
        <f>HYPERLINK("http://mouse.brain-map.org/brain/D330027H18Rik/74822583.html?ispopup=true","Series summary")</f>
        <v>Series summary</v>
      </c>
      <c r="G58" t="str">
        <f>HYPERLINK("http://mouse.brain-map.org/brain/D330027H18Rik/74822583/thumbnails.html?ispopup=true","Thumbnails")</f>
        <v>Thumbnails</v>
      </c>
    </row>
    <row r="59" spans="1:7" ht="12.75">
      <c r="A59">
        <v>57</v>
      </c>
      <c r="B59" t="s">
        <v>179</v>
      </c>
      <c r="C59" t="s">
        <v>180</v>
      </c>
      <c r="D59" t="s">
        <v>181</v>
      </c>
      <c r="E59">
        <v>210105</v>
      </c>
      <c r="F59" t="str">
        <f>HYPERLINK("http://mouse.brain-map.org/brain/Zfp719/71021028.html?ispopup=true","Series summary")</f>
        <v>Series summary</v>
      </c>
      <c r="G59" t="str">
        <f>HYPERLINK("http://mouse.brain-map.org/brain/Zfp719/71021028/thumbnails.html?ispopup=true","Thumbnails")</f>
        <v>Thumbnails</v>
      </c>
    </row>
    <row r="60" spans="1:7" ht="12.75">
      <c r="A60">
        <v>58</v>
      </c>
      <c r="B60" t="s">
        <v>137</v>
      </c>
      <c r="C60" t="s">
        <v>182</v>
      </c>
      <c r="D60" t="s">
        <v>139</v>
      </c>
      <c r="E60">
        <v>22045</v>
      </c>
      <c r="F60" t="str">
        <f>HYPERLINK("http://mouse.brain-map.org/brain/Trhr/1304.html?ispopup=true","Series summary")</f>
        <v>Series summary</v>
      </c>
      <c r="G60" t="str">
        <f>HYPERLINK("http://mouse.brain-map.org/brain/Trhr/1304/thumbnails.html?ispopup=true","Thumbnails")</f>
        <v>Thumbnails</v>
      </c>
    </row>
    <row r="61" spans="1:7" ht="12.75">
      <c r="A61">
        <v>59</v>
      </c>
      <c r="B61" t="s">
        <v>183</v>
      </c>
      <c r="C61" t="s">
        <v>184</v>
      </c>
      <c r="D61" t="s">
        <v>185</v>
      </c>
      <c r="E61">
        <v>54216</v>
      </c>
      <c r="F61" t="str">
        <f>HYPERLINK("http://mouse.brain-map.org/brain/Pcdh7/69782790.html?ispopup=true","Series summary")</f>
        <v>Series summary</v>
      </c>
      <c r="G61" t="str">
        <f>HYPERLINK("http://mouse.brain-map.org/brain/Pcdh7/69782790/thumbnails.html?ispopup=true","Thumbnails")</f>
        <v>Thumbnails</v>
      </c>
    </row>
    <row r="62" spans="1:7" ht="12.75">
      <c r="A62">
        <v>60</v>
      </c>
      <c r="B62" t="s">
        <v>186</v>
      </c>
      <c r="C62" t="s">
        <v>187</v>
      </c>
      <c r="D62" t="s">
        <v>188</v>
      </c>
      <c r="E62">
        <v>16728</v>
      </c>
      <c r="F62" t="str">
        <f>HYPERLINK("http://mouse.brain-map.org/brain/L1cam/80342072.html?ispopup=true","Series summary")</f>
        <v>Series summary</v>
      </c>
      <c r="G62" t="str">
        <f>HYPERLINK("http://mouse.brain-map.org/brain/L1cam/80342072/thumbnails.html?ispopup=true","Thumbnails")</f>
        <v>Thumbnails</v>
      </c>
    </row>
    <row r="63" spans="1:7" ht="12.75">
      <c r="A63">
        <v>61</v>
      </c>
      <c r="B63" t="s">
        <v>189</v>
      </c>
      <c r="C63" t="s">
        <v>190</v>
      </c>
      <c r="D63" t="s">
        <v>191</v>
      </c>
      <c r="E63">
        <v>214424</v>
      </c>
      <c r="F63" t="str">
        <f>HYPERLINK("http://mouse.brain-map.org/brain/Parp16/69014872.html?ispopup=true","Series summary")</f>
        <v>Series summary</v>
      </c>
      <c r="G63" t="str">
        <f>HYPERLINK("http://mouse.brain-map.org/brain/Parp16/69014872/thumbnails.html?ispopup=true","Thumbnails")</f>
        <v>Thumbnails</v>
      </c>
    </row>
    <row r="64" spans="1:7" ht="12.75">
      <c r="A64">
        <v>62</v>
      </c>
      <c r="B64" t="s">
        <v>192</v>
      </c>
      <c r="C64" t="s">
        <v>193</v>
      </c>
      <c r="D64" t="s">
        <v>194</v>
      </c>
      <c r="E64">
        <v>53318</v>
      </c>
      <c r="F64" t="str">
        <f>HYPERLINK("http://mouse.brain-map.org/brain/Pdlim3/69782951.html?ispopup=true","Series summary")</f>
        <v>Series summary</v>
      </c>
      <c r="G64" t="str">
        <f>HYPERLINK("http://mouse.brain-map.org/brain/Pdlim3/69782951/thumbnails.html?ispopup=true","Thumbnails")</f>
        <v>Thumbnails</v>
      </c>
    </row>
    <row r="65" spans="1:7" ht="12.75">
      <c r="A65">
        <v>63</v>
      </c>
      <c r="B65" t="s">
        <v>195</v>
      </c>
      <c r="C65" t="s">
        <v>196</v>
      </c>
      <c r="D65" t="s">
        <v>197</v>
      </c>
      <c r="E65" t="s">
        <v>58</v>
      </c>
      <c r="F65" t="str">
        <f>HYPERLINK("http://mouse.brain-map.org/brain/mCG140156/71211464.html?ispopup=true","Series summary")</f>
        <v>Series summary</v>
      </c>
      <c r="G65" t="str">
        <f>HYPERLINK("http://mouse.brain-map.org/brain/mCG140156/71211464/thumbnails.html?ispopup=true","Thumbnails")</f>
        <v>Thumbnails</v>
      </c>
    </row>
    <row r="66" spans="1:7" ht="12.75">
      <c r="A66">
        <v>64</v>
      </c>
      <c r="B66" t="s">
        <v>198</v>
      </c>
      <c r="C66" t="s">
        <v>199</v>
      </c>
      <c r="D66" t="s">
        <v>200</v>
      </c>
      <c r="E66">
        <v>329977</v>
      </c>
      <c r="F66" t="str">
        <f>HYPERLINK("http://mouse.brain-map.org/brain/Fhad1/68546125.html?ispopup=true","Series summary")</f>
        <v>Series summary</v>
      </c>
      <c r="G66" t="str">
        <f>HYPERLINK("http://mouse.brain-map.org/brain/Fhad1/68546125/thumbnails.html?ispopup=true","Thumbnails")</f>
        <v>Thumbnails</v>
      </c>
    </row>
    <row r="67" spans="1:7" ht="12.75">
      <c r="A67">
        <v>65</v>
      </c>
      <c r="B67" t="s">
        <v>201</v>
      </c>
      <c r="C67" t="s">
        <v>202</v>
      </c>
      <c r="D67" t="s">
        <v>203</v>
      </c>
      <c r="E67">
        <v>225115</v>
      </c>
      <c r="F67" t="str">
        <f>HYPERLINK("http://mouse.brain-map.org/brain/Svil/77332748.html?ispopup=true","Series summary")</f>
        <v>Series summary</v>
      </c>
      <c r="G67" t="str">
        <f>HYPERLINK("http://mouse.brain-map.org/brain/Svil/77332748/thumbnails.html?ispopup=true","Thumbnails")</f>
        <v>Thumbnails</v>
      </c>
    </row>
    <row r="68" spans="1:7" ht="12.75">
      <c r="A68">
        <v>66</v>
      </c>
      <c r="B68" t="s">
        <v>204</v>
      </c>
      <c r="C68" t="s">
        <v>205</v>
      </c>
      <c r="D68" t="s">
        <v>206</v>
      </c>
      <c r="E68">
        <v>66622</v>
      </c>
      <c r="F68" t="str">
        <f>HYPERLINK("http://mouse.brain-map.org/brain/5730410I19Rik/69443469.html?ispopup=true","Series summary")</f>
        <v>Series summary</v>
      </c>
      <c r="G68" t="str">
        <f>HYPERLINK("http://mouse.brain-map.org/brain/5730410I19Rik/69443469/thumbnails.html?ispopup=true","Thumbnails")</f>
        <v>Thumbnails</v>
      </c>
    </row>
    <row r="69" spans="1:7" ht="12.75">
      <c r="A69">
        <v>67</v>
      </c>
      <c r="B69" t="s">
        <v>207</v>
      </c>
      <c r="C69" t="s">
        <v>208</v>
      </c>
      <c r="D69" t="s">
        <v>209</v>
      </c>
      <c r="E69">
        <v>97998</v>
      </c>
      <c r="F69" t="str">
        <f>HYPERLINK("http://mouse.brain-map.org/brain/Depdc6/76135830.html?ispopup=true","Series summary")</f>
        <v>Series summary</v>
      </c>
      <c r="G69" t="str">
        <f>HYPERLINK("http://mouse.brain-map.org/brain/Depdc6/76135830/thumbnails.html?ispopup=true","Thumbnails")</f>
        <v>Thumbnails</v>
      </c>
    </row>
    <row r="70" spans="1:7" ht="12.75">
      <c r="A70">
        <v>68</v>
      </c>
      <c r="B70" t="s">
        <v>210</v>
      </c>
      <c r="C70" t="s">
        <v>211</v>
      </c>
      <c r="D70" t="s">
        <v>212</v>
      </c>
      <c r="E70">
        <v>16870</v>
      </c>
      <c r="F70" t="str">
        <f>HYPERLINK("http://mouse.brain-map.org/brain/Lhx2/79568024.html?ispopup=true","Series summary")</f>
        <v>Series summary</v>
      </c>
      <c r="G70" t="str">
        <f>HYPERLINK("http://mouse.brain-map.org/brain/Lhx2/79568024/thumbnails.html?ispopup=true","Thumbnails")</f>
        <v>Thumbnails</v>
      </c>
    </row>
    <row r="71" spans="1:7" ht="12.75">
      <c r="A71">
        <v>69</v>
      </c>
      <c r="B71" t="s">
        <v>213</v>
      </c>
      <c r="C71" t="s">
        <v>214</v>
      </c>
      <c r="D71" t="s">
        <v>215</v>
      </c>
      <c r="E71">
        <v>22325</v>
      </c>
      <c r="F71" t="str">
        <f>HYPERLINK("http://mouse.brain-map.org/brain/Vav2/68911010.html?ispopup=true","Series summary")</f>
        <v>Series summary</v>
      </c>
      <c r="G71" t="str">
        <f>HYPERLINK("http://mouse.brain-map.org/brain/Vav2/68911010/thumbnails.html?ispopup=true","Thumbnails")</f>
        <v>Thumbnails</v>
      </c>
    </row>
    <row r="72" spans="1:7" ht="12.75">
      <c r="A72">
        <v>70</v>
      </c>
      <c r="B72" t="s">
        <v>216</v>
      </c>
      <c r="C72" t="s">
        <v>217</v>
      </c>
      <c r="D72" t="s">
        <v>218</v>
      </c>
      <c r="E72">
        <v>71390</v>
      </c>
      <c r="F72" t="str">
        <f>HYPERLINK("http://mouse.brain-map.org/brain/5430425J12Rik/74580781.html?ispopup=true","Series summary")</f>
        <v>Series summary</v>
      </c>
      <c r="G72" t="str">
        <f>HYPERLINK("http://mouse.brain-map.org/brain/5430425J12Rik/74580781/thumbnails.html?ispopup=true","Thumbnails")</f>
        <v>Thumbnails</v>
      </c>
    </row>
    <row r="73" spans="1:7" ht="12.75">
      <c r="A73">
        <v>71</v>
      </c>
      <c r="B73" t="s">
        <v>219</v>
      </c>
      <c r="C73" t="s">
        <v>220</v>
      </c>
      <c r="D73" t="s">
        <v>221</v>
      </c>
      <c r="E73">
        <v>68558</v>
      </c>
      <c r="F73" t="str">
        <f>HYPERLINK("http://mouse.brain-map.org/brain/Ankra2/75985901.html?ispopup=true","Series summary")</f>
        <v>Series summary</v>
      </c>
      <c r="G73" t="str">
        <f>HYPERLINK("http://mouse.brain-map.org/brain/Ankra2/75985901/thumbnails.html?ispopup=true","Thumbnails")</f>
        <v>Thumbnails</v>
      </c>
    </row>
    <row r="74" spans="1:7" ht="12.75">
      <c r="A74">
        <v>72</v>
      </c>
      <c r="B74" t="s">
        <v>222</v>
      </c>
      <c r="C74" t="s">
        <v>223</v>
      </c>
      <c r="D74" t="s">
        <v>224</v>
      </c>
      <c r="E74">
        <v>20897</v>
      </c>
      <c r="F74" t="str">
        <f>HYPERLINK("http://mouse.brain-map.org/brain/Stra6/75041492.html?ispopup=true","Series summary")</f>
        <v>Series summary</v>
      </c>
      <c r="G74" t="str">
        <f>HYPERLINK("http://mouse.brain-map.org/brain/Stra6/75041492/thumbnails.html?ispopup=true","Thumbnails")</f>
        <v>Thumbnails</v>
      </c>
    </row>
    <row r="75" spans="1:7" ht="12.75">
      <c r="A75">
        <v>73</v>
      </c>
      <c r="B75" t="s">
        <v>225</v>
      </c>
      <c r="C75" t="s">
        <v>226</v>
      </c>
      <c r="D75" t="s">
        <v>227</v>
      </c>
      <c r="E75">
        <v>15551</v>
      </c>
      <c r="F75" t="str">
        <f>HYPERLINK("http://mouse.brain-map.org/brain/Htr1b/584.html?ispopup=true","Series summary")</f>
        <v>Series summary</v>
      </c>
      <c r="G75" t="str">
        <f>HYPERLINK("http://mouse.brain-map.org/brain/Htr1b/584/thumbnails.html?ispopup=true","Thumbnails")</f>
        <v>Thumbnails</v>
      </c>
    </row>
    <row r="76" spans="1:7" ht="12.75">
      <c r="A76">
        <v>74</v>
      </c>
      <c r="B76" t="s">
        <v>228</v>
      </c>
      <c r="C76" t="s">
        <v>229</v>
      </c>
      <c r="D76" t="s">
        <v>230</v>
      </c>
      <c r="E76">
        <v>12228</v>
      </c>
      <c r="F76" t="str">
        <f>HYPERLINK("http://mouse.brain-map.org/brain/Btg3/168.html?ispopup=true","Series summary")</f>
        <v>Series summary</v>
      </c>
      <c r="G76" t="str">
        <f>HYPERLINK("http://mouse.brain-map.org/brain/Btg3/168/thumbnails.html?ispopup=true","Thumbnails")</f>
        <v>Thumbnails</v>
      </c>
    </row>
    <row r="77" spans="1:7" ht="12.75">
      <c r="A77">
        <v>75</v>
      </c>
      <c r="B77" t="s">
        <v>231</v>
      </c>
      <c r="C77" t="s">
        <v>232</v>
      </c>
      <c r="D77" t="s">
        <v>233</v>
      </c>
      <c r="E77">
        <v>13842</v>
      </c>
      <c r="F77" t="str">
        <f>HYPERLINK("http://mouse.brain-map.org/brain/Epha8/69672090.html?ispopup=true","Series summary")</f>
        <v>Series summary</v>
      </c>
      <c r="G77" t="str">
        <f>HYPERLINK("http://mouse.brain-map.org/brain/Epha8/69672090/thumbnails.html?ispopup=true","Thumbnails")</f>
        <v>Thumbnails</v>
      </c>
    </row>
    <row r="78" spans="1:7" ht="12.75">
      <c r="A78">
        <v>76</v>
      </c>
      <c r="B78" t="s">
        <v>234</v>
      </c>
      <c r="C78" t="s">
        <v>235</v>
      </c>
      <c r="D78" t="s">
        <v>236</v>
      </c>
      <c r="E78">
        <v>29809</v>
      </c>
      <c r="F78" t="str">
        <f>HYPERLINK("http://mouse.brain-map.org/brain/Rabgap1l/77910828.html?ispopup=true","Series summary")</f>
        <v>Series summary</v>
      </c>
      <c r="G78" t="str">
        <f>HYPERLINK("http://mouse.brain-map.org/brain/Rabgap1l/77910828/thumbnails.html?ispopup=true","Thumbnails")</f>
        <v>Thumbnails</v>
      </c>
    </row>
    <row r="79" spans="1:7" ht="12.75">
      <c r="A79">
        <v>77</v>
      </c>
      <c r="B79" t="s">
        <v>237</v>
      </c>
      <c r="C79" t="s">
        <v>238</v>
      </c>
      <c r="D79" t="s">
        <v>239</v>
      </c>
      <c r="E79">
        <v>227394</v>
      </c>
      <c r="F79" t="str">
        <f>HYPERLINK("http://mouse.brain-map.org/brain/Slco4c1/69874102.html?ispopup=true","Series summary")</f>
        <v>Series summary</v>
      </c>
      <c r="G79" t="str">
        <f>HYPERLINK("http://mouse.brain-map.org/brain/Slco4c1/69874102/thumbnails.html?ispopup=true","Thumbnails")</f>
        <v>Thumbnails</v>
      </c>
    </row>
    <row r="80" spans="1:7" ht="12.75">
      <c r="A80">
        <v>78</v>
      </c>
      <c r="B80" t="s">
        <v>240</v>
      </c>
      <c r="C80" t="s">
        <v>241</v>
      </c>
      <c r="D80" t="s">
        <v>242</v>
      </c>
      <c r="E80">
        <v>59289</v>
      </c>
      <c r="F80" t="str">
        <f>HYPERLINK("http://mouse.brain-map.org/brain/Ccbp2/69236987.html?ispopup=true","Series summary")</f>
        <v>Series summary</v>
      </c>
      <c r="G80" t="str">
        <f>HYPERLINK("http://mouse.brain-map.org/brain/Ccbp2/69236987/thumbnails.html?ispopup=true","Thumbnails")</f>
        <v>Thumbnails</v>
      </c>
    </row>
    <row r="81" spans="1:7" ht="12.75">
      <c r="A81">
        <v>79</v>
      </c>
      <c r="B81" t="s">
        <v>243</v>
      </c>
      <c r="C81" t="s">
        <v>244</v>
      </c>
      <c r="D81" t="s">
        <v>245</v>
      </c>
      <c r="E81">
        <v>259088</v>
      </c>
      <c r="F81" t="str">
        <f>HYPERLINK("http://mouse.brain-map.org/brain/Olfr639/74734764.html?ispopup=true","Series summary")</f>
        <v>Series summary</v>
      </c>
      <c r="G81" t="str">
        <f>HYPERLINK("http://mouse.brain-map.org/brain/Olfr639/74734764/thumbnails.html?ispopup=true","Thumbnails")</f>
        <v>Thumbnails</v>
      </c>
    </row>
    <row r="82" spans="1:7" ht="12.75">
      <c r="A82">
        <v>80</v>
      </c>
      <c r="B82" t="s">
        <v>246</v>
      </c>
      <c r="C82" t="s">
        <v>247</v>
      </c>
      <c r="D82" t="s">
        <v>248</v>
      </c>
      <c r="E82">
        <v>72148</v>
      </c>
      <c r="F82" t="str">
        <f>HYPERLINK("http://mouse.brain-map.org/brain/2610019F03Rik/74724511.html?ispopup=true","Series summary")</f>
        <v>Series summary</v>
      </c>
      <c r="G82" t="str">
        <f>HYPERLINK("http://mouse.brain-map.org/brain/2610019F03Rik/74724511/thumbnails.html?ispopup=true","Thumbnails")</f>
        <v>Thumbnails</v>
      </c>
    </row>
    <row r="83" spans="1:7" ht="12.75">
      <c r="A83">
        <v>81</v>
      </c>
      <c r="B83" t="s">
        <v>249</v>
      </c>
      <c r="C83" t="s">
        <v>250</v>
      </c>
      <c r="D83" t="s">
        <v>251</v>
      </c>
      <c r="E83">
        <v>14199</v>
      </c>
      <c r="F83" t="str">
        <f>HYPERLINK("http://mouse.brain-map.org/brain/Fhl1/2218.html?ispopup=true","Series summary")</f>
        <v>Series summary</v>
      </c>
      <c r="G83" t="str">
        <f>HYPERLINK("http://mouse.brain-map.org/brain/Fhl1/2218/thumbnails.html?ispopup=true","Thumbnails")</f>
        <v>Thumbnails</v>
      </c>
    </row>
    <row r="84" spans="1:7" ht="12.75">
      <c r="A84">
        <v>82</v>
      </c>
      <c r="B84" t="s">
        <v>252</v>
      </c>
      <c r="C84" t="s">
        <v>253</v>
      </c>
      <c r="D84" t="s">
        <v>254</v>
      </c>
      <c r="E84">
        <v>227525</v>
      </c>
      <c r="F84" t="str">
        <f>HYPERLINK("http://mouse.brain-map.org/brain/Dclre1c/70946403.html?ispopup=true","Series summary")</f>
        <v>Series summary</v>
      </c>
      <c r="G84" t="str">
        <f>HYPERLINK("http://mouse.brain-map.org/brain/Dclre1c/70946403/thumbnails.html?ispopup=true","Thumbnails")</f>
        <v>Thumbnails</v>
      </c>
    </row>
    <row r="85" spans="1:7" ht="12.75">
      <c r="A85">
        <v>83</v>
      </c>
      <c r="B85" t="s">
        <v>255</v>
      </c>
      <c r="C85" t="s">
        <v>256</v>
      </c>
      <c r="D85" t="s">
        <v>257</v>
      </c>
      <c r="E85">
        <v>12671</v>
      </c>
      <c r="F85" t="str">
        <f>HYPERLINK("http://mouse.brain-map.org/brain/Chrm3/2095.html?ispopup=true","Series summary")</f>
        <v>Series summary</v>
      </c>
      <c r="G85" t="str">
        <f>HYPERLINK("http://mouse.brain-map.org/brain/Chrm3/2095/thumbnails.html?ispopup=true","Thumbnails")</f>
        <v>Thumbnails</v>
      </c>
    </row>
    <row r="86" spans="1:7" ht="12.75">
      <c r="A86">
        <v>84</v>
      </c>
      <c r="B86" t="s">
        <v>258</v>
      </c>
      <c r="C86" t="s">
        <v>259</v>
      </c>
      <c r="D86" t="s">
        <v>260</v>
      </c>
      <c r="E86">
        <v>21647</v>
      </c>
      <c r="F86" t="str">
        <f>HYPERLINK("http://mouse.brain-map.org/brain/Tcte3/69174499.html?ispopup=true","Series summary")</f>
        <v>Series summary</v>
      </c>
      <c r="G86" t="str">
        <f>HYPERLINK("http://mouse.brain-map.org/brain/Tcte3/69174499/thumbnails.html?ispopup=true","Thumbnails")</f>
        <v>Thumbnails</v>
      </c>
    </row>
    <row r="87" spans="1:7" ht="12.75">
      <c r="A87">
        <v>85</v>
      </c>
      <c r="B87" t="s">
        <v>261</v>
      </c>
      <c r="C87" t="s">
        <v>262</v>
      </c>
      <c r="D87" t="s">
        <v>263</v>
      </c>
      <c r="E87">
        <v>97487</v>
      </c>
      <c r="F87" t="str">
        <f>HYPERLINK("http://mouse.brain-map.org/brain/Cmtm4/2101.html?ispopup=true","Series summary")</f>
        <v>Series summary</v>
      </c>
      <c r="G87" t="str">
        <f>HYPERLINK("http://mouse.brain-map.org/brain/Cmtm4/2101/thumbnails.html?ispopup=true","Thumbnails")</f>
        <v>Thumbnails</v>
      </c>
    </row>
    <row r="88" spans="1:7" ht="12.75">
      <c r="A88">
        <v>86</v>
      </c>
      <c r="B88" t="s">
        <v>264</v>
      </c>
      <c r="C88" t="s">
        <v>265</v>
      </c>
      <c r="D88" t="s">
        <v>266</v>
      </c>
      <c r="E88">
        <v>14804</v>
      </c>
      <c r="F88" t="str">
        <f>HYPERLINK("http://mouse.brain-map.org/brain/Grid2/69257713.html?ispopup=true","Series summary")</f>
        <v>Series summary</v>
      </c>
      <c r="G88" t="str">
        <f>HYPERLINK("http://mouse.brain-map.org/brain/Grid2/69257713/thumbnails.html?ispopup=true","Thumbnails")</f>
        <v>Thumbnails</v>
      </c>
    </row>
    <row r="89" spans="1:7" ht="12.75">
      <c r="A89">
        <v>87</v>
      </c>
      <c r="B89" t="s">
        <v>267</v>
      </c>
      <c r="C89" t="s">
        <v>268</v>
      </c>
      <c r="D89" t="s">
        <v>269</v>
      </c>
      <c r="E89">
        <v>15184</v>
      </c>
      <c r="F89" t="str">
        <f>HYPERLINK("http://mouse.brain-map.org/brain/Hdac5/69734965.html?ispopup=true","Series summary")</f>
        <v>Series summary</v>
      </c>
      <c r="G89" t="str">
        <f>HYPERLINK("http://mouse.brain-map.org/brain/Hdac5/69734965/thumbnails.html?ispopup=true","Thumbnails")</f>
        <v>Thumbnails</v>
      </c>
    </row>
    <row r="90" spans="1:7" ht="12.75">
      <c r="A90">
        <v>88</v>
      </c>
      <c r="B90" t="s">
        <v>270</v>
      </c>
      <c r="C90" t="s">
        <v>271</v>
      </c>
      <c r="D90" t="s">
        <v>272</v>
      </c>
      <c r="E90">
        <v>241201</v>
      </c>
      <c r="F90" t="str">
        <f>HYPERLINK("http://mouse.brain-map.org/brain/Cdh7/69540683.html?ispopup=true","Series summary")</f>
        <v>Series summary</v>
      </c>
      <c r="G90" t="str">
        <f>HYPERLINK("http://mouse.brain-map.org/brain/Cdh7/69540683/thumbnails.html?ispopup=true","Thumbnails")</f>
        <v>Thumbnails</v>
      </c>
    </row>
    <row r="91" spans="1:7" ht="12.75">
      <c r="A91">
        <v>89</v>
      </c>
      <c r="B91" t="s">
        <v>273</v>
      </c>
      <c r="C91" t="s">
        <v>274</v>
      </c>
      <c r="D91" t="s">
        <v>275</v>
      </c>
      <c r="E91">
        <v>14809</v>
      </c>
      <c r="F91" t="str">
        <f>HYPERLINK("http://mouse.brain-map.org/brain/Grik5/70919023.html?ispopup=true","Series summary")</f>
        <v>Series summary</v>
      </c>
      <c r="G91" t="str">
        <f>HYPERLINK("http://mouse.brain-map.org/brain/Grik5/70919023/thumbnails.html?ispopup=true","Thumbnails")</f>
        <v>Thumbnails</v>
      </c>
    </row>
    <row r="92" spans="1:7" ht="12.75">
      <c r="A92">
        <v>90</v>
      </c>
      <c r="B92" t="s">
        <v>276</v>
      </c>
      <c r="C92" t="s">
        <v>277</v>
      </c>
      <c r="D92" t="s">
        <v>278</v>
      </c>
      <c r="E92">
        <v>18211</v>
      </c>
      <c r="F92" t="str">
        <f>HYPERLINK("http://mouse.brain-map.org/brain/Ntrk1/69782449.html?ispopup=true","Series summary")</f>
        <v>Series summary</v>
      </c>
      <c r="G92" t="str">
        <f>HYPERLINK("http://mouse.brain-map.org/brain/Ntrk1/69782449/thumbnails.html?ispopup=true","Thumbnails")</f>
        <v>Thumbnails</v>
      </c>
    </row>
    <row r="93" spans="1:7" ht="12.75">
      <c r="A93">
        <v>91</v>
      </c>
      <c r="B93" t="s">
        <v>279</v>
      </c>
      <c r="C93" t="s">
        <v>280</v>
      </c>
      <c r="D93" t="s">
        <v>281</v>
      </c>
      <c r="E93">
        <v>23872</v>
      </c>
      <c r="F93" t="str">
        <f>HYPERLINK("http://mouse.brain-map.org/brain/Ets2/79904406.html?ispopup=true","Series summary")</f>
        <v>Series summary</v>
      </c>
      <c r="G93" t="str">
        <f>HYPERLINK("http://mouse.brain-map.org/brain/Ets2/79904406/thumbnails.html?ispopup=true","Thumbnails")</f>
        <v>Thumbnails</v>
      </c>
    </row>
    <row r="94" spans="1:7" ht="12.75">
      <c r="A94">
        <v>92</v>
      </c>
      <c r="B94" t="s">
        <v>282</v>
      </c>
      <c r="C94" t="s">
        <v>283</v>
      </c>
      <c r="D94" t="s">
        <v>284</v>
      </c>
      <c r="E94">
        <v>53906</v>
      </c>
      <c r="F94" t="str">
        <f>HYPERLINK("http://mouse.brain-map.org/brain/1810007E14Rik/68666726.html?ispopup=true","Series summary")</f>
        <v>Series summary</v>
      </c>
      <c r="G94" t="str">
        <f>HYPERLINK("http://mouse.brain-map.org/brain/1810007E14Rik/68666726/thumbnails.html?ispopup=true","Thumbnails")</f>
        <v>Thumbnails</v>
      </c>
    </row>
    <row r="95" spans="1:7" ht="12.75">
      <c r="A95">
        <v>93</v>
      </c>
      <c r="B95" t="s">
        <v>285</v>
      </c>
      <c r="C95" t="s">
        <v>286</v>
      </c>
      <c r="D95" t="s">
        <v>287</v>
      </c>
      <c r="E95">
        <v>68968</v>
      </c>
      <c r="F95" t="str">
        <f>HYPERLINK("http://mouse.brain-map.org/brain/Cdan1/69540641.html?ispopup=true","Series summary")</f>
        <v>Series summary</v>
      </c>
      <c r="G95" t="str">
        <f>HYPERLINK("http://mouse.brain-map.org/brain/Cdan1/69540641/thumbnails.html?ispopup=true","Thumbnails")</f>
        <v>Thumbnails</v>
      </c>
    </row>
    <row r="96" spans="1:7" ht="12.75">
      <c r="A96">
        <v>94</v>
      </c>
      <c r="B96" t="s">
        <v>288</v>
      </c>
      <c r="C96" t="s">
        <v>289</v>
      </c>
      <c r="D96" t="s">
        <v>290</v>
      </c>
      <c r="E96">
        <v>207596</v>
      </c>
      <c r="F96" t="str">
        <f>HYPERLINK("http://mouse.brain-map.org/brain/Thsd4/69527776.html?ispopup=true","Series summary")</f>
        <v>Series summary</v>
      </c>
      <c r="G96" t="str">
        <f>HYPERLINK("http://mouse.brain-map.org/brain/Thsd4/69527776/thumbnails.html?ispopup=true","Thumbnails")</f>
        <v>Thumbnails</v>
      </c>
    </row>
    <row r="97" spans="1:7" ht="12.75">
      <c r="A97">
        <v>95</v>
      </c>
      <c r="B97" t="s">
        <v>291</v>
      </c>
      <c r="C97" t="s">
        <v>292</v>
      </c>
      <c r="D97" t="s">
        <v>293</v>
      </c>
      <c r="E97">
        <v>75758</v>
      </c>
      <c r="F97" t="str">
        <f>HYPERLINK("http://mouse.brain-map.org/brain/9130401M01Rik/70717374.html?ispopup=true","Series summary")</f>
        <v>Series summary</v>
      </c>
      <c r="G97" t="str">
        <f>HYPERLINK("http://mouse.brain-map.org/brain/9130401M01Rik/70717374/thumbnails.html?ispopup=true","Thumbnails")</f>
        <v>Thumbnails</v>
      </c>
    </row>
    <row r="98" spans="1:7" ht="12.75">
      <c r="A98">
        <v>96</v>
      </c>
      <c r="B98" t="s">
        <v>294</v>
      </c>
      <c r="C98" t="s">
        <v>295</v>
      </c>
      <c r="D98" t="s">
        <v>296</v>
      </c>
      <c r="E98">
        <v>14088</v>
      </c>
      <c r="F98" t="str">
        <f>HYPERLINK("http://mouse.brain-map.org/brain/Fancc/68162253.html?ispopup=true","Series summary")</f>
        <v>Series summary</v>
      </c>
      <c r="G98" t="str">
        <f>HYPERLINK("http://mouse.brain-map.org/brain/Fancc/68162253/thumbnails.html?ispopup=true","Thumbnails")</f>
        <v>Thumbnails</v>
      </c>
    </row>
    <row r="99" spans="1:7" ht="12.75">
      <c r="A99">
        <v>97</v>
      </c>
      <c r="B99" t="s">
        <v>297</v>
      </c>
      <c r="C99" t="s">
        <v>298</v>
      </c>
      <c r="D99" t="s">
        <v>299</v>
      </c>
      <c r="E99">
        <v>77596</v>
      </c>
      <c r="F99" t="str">
        <f>HYPERLINK("http://mouse.brain-map.org/brain/Gpr110/79632204.html?ispopup=true","Series summary")</f>
        <v>Series summary</v>
      </c>
      <c r="G99" t="str">
        <f>HYPERLINK("http://mouse.brain-map.org/brain/Gpr110/79632204/thumbnails.html?ispopup=true","Thumbnails")</f>
        <v>Thumbnails</v>
      </c>
    </row>
    <row r="100" spans="1:7" ht="12.75">
      <c r="A100">
        <v>98</v>
      </c>
      <c r="B100" t="s">
        <v>300</v>
      </c>
      <c r="C100" t="s">
        <v>301</v>
      </c>
      <c r="D100" t="s">
        <v>302</v>
      </c>
      <c r="E100">
        <v>11770</v>
      </c>
      <c r="F100" t="str">
        <f>HYPERLINK("http://mouse.brain-map.org/brain/Fabp4/74821969.html?ispopup=true","Series summary")</f>
        <v>Series summary</v>
      </c>
      <c r="G100" t="str">
        <f>HYPERLINK("http://mouse.brain-map.org/brain/Fabp4/74821969/thumbnails.html?ispopup=true","Thumbnails")</f>
        <v>Thumbnails</v>
      </c>
    </row>
    <row r="101" spans="1:7" ht="12.75">
      <c r="A101">
        <v>99</v>
      </c>
      <c r="B101" t="s">
        <v>303</v>
      </c>
      <c r="C101" t="s">
        <v>304</v>
      </c>
      <c r="D101" t="s">
        <v>305</v>
      </c>
      <c r="E101">
        <v>80752</v>
      </c>
      <c r="F101" t="str">
        <f>HYPERLINK("http://mouse.brain-map.org/brain/BC004044/71789051.html?ispopup=true","Series summary")</f>
        <v>Series summary</v>
      </c>
      <c r="G101" t="str">
        <f>HYPERLINK("http://mouse.brain-map.org/brain/BC004044/71789051/thumbnails.html?ispopup=true","Thumbnails")</f>
        <v>Thumbnails</v>
      </c>
    </row>
    <row r="102" spans="1:7" ht="12.75">
      <c r="A102">
        <v>100</v>
      </c>
      <c r="B102" t="s">
        <v>306</v>
      </c>
      <c r="C102" t="s">
        <v>307</v>
      </c>
      <c r="D102" t="s">
        <v>308</v>
      </c>
      <c r="E102">
        <v>13841</v>
      </c>
      <c r="F102" t="str">
        <f>HYPERLINK("http://mouse.brain-map.org/brain/Epha7/402.html?ispopup=true","Series summary")</f>
        <v>Series summary</v>
      </c>
      <c r="G102" t="str">
        <f>HYPERLINK("http://mouse.brain-map.org/brain/Epha7/402/thumbnails.html?ispopup=true","Thumbnails")</f>
        <v>Thumbnails</v>
      </c>
    </row>
    <row r="103" spans="1:7" ht="12.75">
      <c r="A103">
        <v>101</v>
      </c>
      <c r="B103" t="s">
        <v>89</v>
      </c>
      <c r="C103" t="s">
        <v>309</v>
      </c>
      <c r="D103" t="s">
        <v>91</v>
      </c>
      <c r="E103">
        <v>14734</v>
      </c>
      <c r="F103" t="str">
        <f>HYPERLINK("http://mouse.brain-map.org/brain/Gpc3/69173280.html?ispopup=true","Series summary")</f>
        <v>Series summary</v>
      </c>
      <c r="G103" t="str">
        <f>HYPERLINK("http://mouse.brain-map.org/brain/Gpc3/69173280/thumbnails.html?ispopup=true","Thumbnails")</f>
        <v>Thumbnails</v>
      </c>
    </row>
    <row r="104" spans="1:7" ht="12.75">
      <c r="A104">
        <v>102</v>
      </c>
      <c r="B104" t="s">
        <v>310</v>
      </c>
      <c r="C104" t="s">
        <v>311</v>
      </c>
      <c r="D104" t="s">
        <v>312</v>
      </c>
      <c r="E104">
        <v>207375</v>
      </c>
      <c r="F104" t="str">
        <f>HYPERLINK("http://mouse.brain-map.org/brain/ORF34/74581430.html?ispopup=true","Series summary")</f>
        <v>Series summary</v>
      </c>
      <c r="G104" t="str">
        <f>HYPERLINK("http://mouse.brain-map.org/brain/ORF34/74581430/thumbnails.html?ispopup=true","Thumbnails")</f>
        <v>Thumbnails</v>
      </c>
    </row>
    <row r="105" spans="1:7" ht="12.75">
      <c r="A105">
        <v>103</v>
      </c>
      <c r="B105" t="s">
        <v>313</v>
      </c>
      <c r="C105" t="s">
        <v>314</v>
      </c>
      <c r="D105" t="s">
        <v>315</v>
      </c>
      <c r="E105">
        <v>107022</v>
      </c>
      <c r="F105" t="str">
        <f>HYPERLINK("http://mouse.brain-map.org/brain/Gramd3/70919967.html?ispopup=true","Series summary")</f>
        <v>Series summary</v>
      </c>
      <c r="G105" t="str">
        <f>HYPERLINK("http://mouse.brain-map.org/brain/Gramd3/70919967/thumbnails.html?ispopup=true","Thumbnails")</f>
        <v>Thumbnails</v>
      </c>
    </row>
    <row r="106" spans="1:7" ht="12.75">
      <c r="A106">
        <v>104</v>
      </c>
      <c r="B106" t="s">
        <v>316</v>
      </c>
      <c r="C106" t="s">
        <v>317</v>
      </c>
      <c r="D106" t="s">
        <v>318</v>
      </c>
      <c r="E106">
        <v>243312</v>
      </c>
      <c r="F106" t="str">
        <f>HYPERLINK("http://mouse.brain-map.org/brain/A930017N06Rik/77791978.html?ispopup=true","Series summary")</f>
        <v>Series summary</v>
      </c>
      <c r="G106" t="str">
        <f>HYPERLINK("http://mouse.brain-map.org/brain/A930017N06Rik/77791978/thumbnails.html?ispopup=true","Thumbnails")</f>
        <v>Thumbnails</v>
      </c>
    </row>
    <row r="107" spans="1:7" ht="12.75">
      <c r="A107">
        <v>105</v>
      </c>
      <c r="B107" t="s">
        <v>319</v>
      </c>
      <c r="C107" t="s">
        <v>320</v>
      </c>
      <c r="D107" t="s">
        <v>321</v>
      </c>
      <c r="E107">
        <v>72549</v>
      </c>
      <c r="F107" t="str">
        <f>HYPERLINK("http://mouse.brain-map.org/brain/Reep4/68744761.html?ispopup=true","Series summary")</f>
        <v>Series summary</v>
      </c>
      <c r="G107" t="str">
        <f>HYPERLINK("http://mouse.brain-map.org/brain/Reep4/68744761/thumbnails.html?ispopup=true","Thumbnails")</f>
        <v>Thumbnails</v>
      </c>
    </row>
    <row r="108" spans="1:7" ht="12.75">
      <c r="A108">
        <v>106</v>
      </c>
      <c r="B108" t="s">
        <v>322</v>
      </c>
      <c r="C108" t="s">
        <v>323</v>
      </c>
      <c r="D108" t="s">
        <v>324</v>
      </c>
      <c r="E108">
        <v>70450</v>
      </c>
      <c r="F108" t="str">
        <f>HYPERLINK("http://mouse.brain-map.org/brain/Unc13d/69838393.html?ispopup=true","Series summary")</f>
        <v>Series summary</v>
      </c>
      <c r="G108" t="str">
        <f>HYPERLINK("http://mouse.brain-map.org/brain/Unc13d/69838393/thumbnails.html?ispopup=true","Thumbnails")</f>
        <v>Thumbnails</v>
      </c>
    </row>
    <row r="109" spans="1:7" ht="12.75">
      <c r="A109">
        <v>107</v>
      </c>
      <c r="B109" t="s">
        <v>325</v>
      </c>
      <c r="C109" t="s">
        <v>326</v>
      </c>
      <c r="D109" t="s">
        <v>327</v>
      </c>
      <c r="E109">
        <v>320865</v>
      </c>
      <c r="F109" t="str">
        <f>HYPERLINK("http://mouse.brain-map.org/brain/B230220E17Rik/70611407.html?ispopup=true","Series summary")</f>
        <v>Series summary</v>
      </c>
      <c r="G109" t="str">
        <f>HYPERLINK("http://mouse.brain-map.org/brain/B230220E17Rik/70611407/thumbnails.html?ispopup=true","Thumbnails")</f>
        <v>Thumbnails</v>
      </c>
    </row>
    <row r="110" spans="1:7" ht="12.75">
      <c r="A110">
        <v>108</v>
      </c>
      <c r="B110" t="s">
        <v>328</v>
      </c>
      <c r="C110" t="s">
        <v>329</v>
      </c>
      <c r="D110" t="s">
        <v>330</v>
      </c>
      <c r="E110">
        <v>72119</v>
      </c>
      <c r="F110" t="str">
        <f>HYPERLINK("http://mouse.brain-map.org/brain/Tpx2/70192015.html?ispopup=true","Series summary")</f>
        <v>Series summary</v>
      </c>
      <c r="G110" t="str">
        <f>HYPERLINK("http://mouse.brain-map.org/brain/Tpx2/70192015/thumbnails.html?ispopup=true","Thumbnails")</f>
        <v>Thumbnails</v>
      </c>
    </row>
    <row r="111" spans="1:7" ht="12.75">
      <c r="A111">
        <v>109</v>
      </c>
      <c r="B111" t="s">
        <v>331</v>
      </c>
      <c r="C111" t="s">
        <v>332</v>
      </c>
      <c r="D111" t="s">
        <v>333</v>
      </c>
      <c r="E111">
        <v>83429</v>
      </c>
      <c r="F111" t="str">
        <f>HYPERLINK("http://mouse.brain-map.org/brain/Ctns/275689.html?ispopup=true","Series summary")</f>
        <v>Series summary</v>
      </c>
      <c r="G111" t="str">
        <f>HYPERLINK("http://mouse.brain-map.org/brain/Ctns/275689/thumbnails.html?ispopup=true","Thumbnails")</f>
        <v>Thumbnails</v>
      </c>
    </row>
    <row r="112" spans="1:7" ht="12.75">
      <c r="A112">
        <v>110</v>
      </c>
      <c r="B112" t="s">
        <v>255</v>
      </c>
      <c r="C112" t="s">
        <v>334</v>
      </c>
      <c r="D112" t="s">
        <v>257</v>
      </c>
      <c r="E112">
        <v>12671</v>
      </c>
      <c r="F112" t="str">
        <f>HYPERLINK("http://mouse.brain-map.org/brain/Chrm3/79912556.html?ispopup=true","Series summary")</f>
        <v>Series summary</v>
      </c>
      <c r="G112" t="str">
        <f>HYPERLINK("http://mouse.brain-map.org/brain/Chrm3/79912556/thumbnails.html?ispopup=true","Thumbnails")</f>
        <v>Thumbnails</v>
      </c>
    </row>
    <row r="113" spans="1:7" ht="12.75">
      <c r="A113">
        <v>111</v>
      </c>
      <c r="B113" t="s">
        <v>335</v>
      </c>
      <c r="C113" t="s">
        <v>336</v>
      </c>
      <c r="D113" t="s">
        <v>337</v>
      </c>
      <c r="E113">
        <v>18131</v>
      </c>
      <c r="F113" t="str">
        <f>HYPERLINK("http://mouse.brain-map.org/brain/Notch3/1789.html?ispopup=true","Series summary")</f>
        <v>Series summary</v>
      </c>
      <c r="G113" t="str">
        <f>HYPERLINK("http://mouse.brain-map.org/brain/Notch3/1789/thumbnails.html?ispopup=true","Thumbnails")</f>
        <v>Thumbnails</v>
      </c>
    </row>
    <row r="114" spans="1:7" ht="12.75">
      <c r="A114">
        <v>112</v>
      </c>
      <c r="B114" t="s">
        <v>338</v>
      </c>
      <c r="C114" t="s">
        <v>339</v>
      </c>
      <c r="D114" t="s">
        <v>340</v>
      </c>
      <c r="E114" t="s">
        <v>58</v>
      </c>
      <c r="F114" t="str">
        <f>HYPERLINK("http://mouse.brain-map.org/brain/A630094N22Rik*/73906319.html?ispopup=true","Series summary")</f>
        <v>Series summary</v>
      </c>
      <c r="G114" t="str">
        <f>HYPERLINK("http://mouse.brain-map.org/brain/A630094N22Rik*/73906319/thumbnails.html?ispopup=true","Thumbnails")</f>
        <v>Thumbnails</v>
      </c>
    </row>
    <row r="115" spans="1:7" ht="12.75">
      <c r="A115">
        <v>113</v>
      </c>
      <c r="B115" t="s">
        <v>341</v>
      </c>
      <c r="C115" t="s">
        <v>342</v>
      </c>
      <c r="D115" t="s">
        <v>343</v>
      </c>
      <c r="E115">
        <v>18186</v>
      </c>
      <c r="F115" t="str">
        <f>HYPERLINK("http://mouse.brain-map.org/brain/Nrp1/79913171.html?ispopup=true","Series summary")</f>
        <v>Series summary</v>
      </c>
      <c r="G115" t="str">
        <f>HYPERLINK("http://mouse.brain-map.org/brain/Nrp1/79913171/thumbnails.html?ispopup=true","Thumbnails")</f>
        <v>Thumbnails</v>
      </c>
    </row>
    <row r="116" spans="1:7" ht="12.75">
      <c r="A116">
        <v>114</v>
      </c>
      <c r="B116" t="s">
        <v>344</v>
      </c>
      <c r="C116" t="s">
        <v>345</v>
      </c>
      <c r="D116" t="s">
        <v>346</v>
      </c>
      <c r="E116">
        <v>320262</v>
      </c>
      <c r="F116" t="str">
        <f>HYPERLINK("http://mouse.brain-map.org/brain/A830073O21Rik/67815960.html?ispopup=true","Series summary")</f>
        <v>Series summary</v>
      </c>
      <c r="G116" t="str">
        <f>HYPERLINK("http://mouse.brain-map.org/brain/A830073O21Rik/67815960/thumbnails.html?ispopup=true","Thumbnails")</f>
        <v>Thumbnails</v>
      </c>
    </row>
    <row r="117" spans="1:7" ht="12.75">
      <c r="A117">
        <v>115</v>
      </c>
      <c r="B117" t="s">
        <v>347</v>
      </c>
      <c r="C117" t="s">
        <v>348</v>
      </c>
      <c r="D117" t="s">
        <v>349</v>
      </c>
      <c r="E117">
        <v>14696</v>
      </c>
      <c r="F117" t="str">
        <f>HYPERLINK("http://mouse.brain-map.org/brain/Gnb4/74047771.html?ispopup=true","Series summary")</f>
        <v>Series summary</v>
      </c>
      <c r="G117" t="str">
        <f>HYPERLINK("http://mouse.brain-map.org/brain/Gnb4/74047771/thumbnails.html?ispopup=true","Thumbnails")</f>
        <v>Thumbnails</v>
      </c>
    </row>
    <row r="118" spans="1:7" ht="12.75">
      <c r="A118">
        <v>116</v>
      </c>
      <c r="B118" t="s">
        <v>350</v>
      </c>
      <c r="C118" t="s">
        <v>351</v>
      </c>
      <c r="D118" t="s">
        <v>352</v>
      </c>
      <c r="E118">
        <v>171207</v>
      </c>
      <c r="F118" t="str">
        <f>HYPERLINK("http://mouse.brain-map.org/brain/Arhgap4/75988286.html?ispopup=true","Series summary")</f>
        <v>Series summary</v>
      </c>
      <c r="G118" t="str">
        <f>HYPERLINK("http://mouse.brain-map.org/brain/Arhgap4/75988286/thumbnails.html?ispopup=true","Thumbnails")</f>
        <v>Thumbnails</v>
      </c>
    </row>
    <row r="119" spans="1:7" ht="12.75">
      <c r="A119">
        <v>117</v>
      </c>
      <c r="B119" t="s">
        <v>353</v>
      </c>
      <c r="C119" t="s">
        <v>354</v>
      </c>
      <c r="D119" t="s">
        <v>355</v>
      </c>
      <c r="E119">
        <v>14156</v>
      </c>
      <c r="F119" t="str">
        <f>HYPERLINK("http://mouse.brain-map.org/brain/Fen1/77620497.html?ispopup=true","Series summary")</f>
        <v>Series summary</v>
      </c>
      <c r="G119" t="str">
        <f>HYPERLINK("http://mouse.brain-map.org/brain/Fen1/77620497/thumbnails.html?ispopup=true","Thumbnails")</f>
        <v>Thumbnails</v>
      </c>
    </row>
    <row r="120" spans="1:7" ht="12.75">
      <c r="A120">
        <v>118</v>
      </c>
      <c r="B120" t="s">
        <v>356</v>
      </c>
      <c r="C120" t="s">
        <v>357</v>
      </c>
      <c r="D120" t="s">
        <v>358</v>
      </c>
      <c r="E120">
        <v>67874</v>
      </c>
      <c r="F120" t="str">
        <f>HYPERLINK("http://mouse.brain-map.org/brain/Rprm/71836875.html?ispopup=true","Series summary")</f>
        <v>Series summary</v>
      </c>
      <c r="G120" t="str">
        <f>HYPERLINK("http://mouse.brain-map.org/brain/Rprm/71836875/thumbnails.html?ispopup=true","Thumbnails")</f>
        <v>Thumbnails</v>
      </c>
    </row>
    <row r="121" spans="1:7" ht="12.75">
      <c r="A121">
        <v>119</v>
      </c>
      <c r="B121" t="s">
        <v>359</v>
      </c>
      <c r="C121" t="s">
        <v>360</v>
      </c>
      <c r="D121" t="s">
        <v>361</v>
      </c>
      <c r="E121">
        <v>320440</v>
      </c>
      <c r="F121" t="str">
        <f>HYPERLINK("http://mouse.brain-map.org/brain/9530091C08Rik/71249747.html?ispopup=true","Series summary")</f>
        <v>Series summary</v>
      </c>
      <c r="G121" t="str">
        <f>HYPERLINK("http://mouse.brain-map.org/brain/9530091C08Rik/71249747/thumbnails.html?ispopup=true","Thumbnails")</f>
        <v>Thumbnails</v>
      </c>
    </row>
    <row r="122" spans="1:7" ht="12.75">
      <c r="A122">
        <v>120</v>
      </c>
      <c r="B122" t="s">
        <v>362</v>
      </c>
      <c r="C122" t="s">
        <v>363</v>
      </c>
      <c r="D122" t="s">
        <v>364</v>
      </c>
      <c r="E122">
        <v>66561</v>
      </c>
      <c r="F122" t="str">
        <f>HYPERLINK("http://mouse.brain-map.org/brain/2310042E22Rik/75934521.html?ispopup=true","Series summary")</f>
        <v>Series summary</v>
      </c>
      <c r="G122" t="str">
        <f>HYPERLINK("http://mouse.brain-map.org/brain/2310042E22Rik/75934521/thumbnails.html?ispopup=true","Thumbnails")</f>
        <v>Thumbnails</v>
      </c>
    </row>
    <row r="123" spans="1:7" ht="12.75">
      <c r="A123">
        <v>121</v>
      </c>
      <c r="B123" t="s">
        <v>365</v>
      </c>
      <c r="C123" t="s">
        <v>366</v>
      </c>
      <c r="D123" t="s">
        <v>367</v>
      </c>
      <c r="E123">
        <v>78339</v>
      </c>
      <c r="F123" t="str">
        <f>HYPERLINK("http://mouse.brain-map.org/brain/Ttyh3/74988711.html?ispopup=true","Series summary")</f>
        <v>Series summary</v>
      </c>
      <c r="G123" t="str">
        <f>HYPERLINK("http://mouse.brain-map.org/brain/Ttyh3/74988711/thumbnails.html?ispopup=true","Thumbnails")</f>
        <v>Thumbnails</v>
      </c>
    </row>
    <row r="124" spans="1:7" ht="12.75">
      <c r="A124">
        <v>122</v>
      </c>
      <c r="B124" t="s">
        <v>368</v>
      </c>
      <c r="C124" t="s">
        <v>369</v>
      </c>
      <c r="D124" t="s">
        <v>370</v>
      </c>
      <c r="E124">
        <v>63953</v>
      </c>
      <c r="F124" t="str">
        <f>HYPERLINK("http://mouse.brain-map.org/brain/Dusp10/75750342.html?ispopup=true","Series summary")</f>
        <v>Series summary</v>
      </c>
      <c r="G124" t="str">
        <f>HYPERLINK("http://mouse.brain-map.org/brain/Dusp10/75750342/thumbnails.html?ispopup=true","Thumbnails")</f>
        <v>Thumbnails</v>
      </c>
    </row>
    <row r="125" spans="1:7" ht="12.75">
      <c r="A125">
        <v>123</v>
      </c>
      <c r="B125" t="s">
        <v>371</v>
      </c>
      <c r="C125" t="s">
        <v>372</v>
      </c>
      <c r="D125" t="s">
        <v>373</v>
      </c>
      <c r="E125">
        <v>14778</v>
      </c>
      <c r="F125" t="str">
        <f>HYPERLINK("http://mouse.brain-map.org/brain/Gpx3/79762714.html?ispopup=true","Series summary")</f>
        <v>Series summary</v>
      </c>
      <c r="G125" t="str">
        <f>HYPERLINK("http://mouse.brain-map.org/brain/Gpx3/79762714/thumbnails.html?ispopup=true","Thumbnails")</f>
        <v>Thumbnails</v>
      </c>
    </row>
    <row r="126" spans="1:7" ht="12.75">
      <c r="A126">
        <v>124</v>
      </c>
      <c r="B126" t="s">
        <v>374</v>
      </c>
      <c r="C126" t="s">
        <v>375</v>
      </c>
      <c r="D126" t="s">
        <v>376</v>
      </c>
      <c r="E126">
        <v>58208</v>
      </c>
      <c r="F126" t="str">
        <f>HYPERLINK("http://mouse.brain-map.org/brain/Bcl11b/74990505.html?ispopup=true","Series summary")</f>
        <v>Series summary</v>
      </c>
      <c r="G126" t="str">
        <f>HYPERLINK("http://mouse.brain-map.org/brain/Bcl11b/74990505/thumbnails.html?ispopup=true","Thumbnails")</f>
        <v>Thumbnails</v>
      </c>
    </row>
    <row r="127" spans="1:7" ht="12.75">
      <c r="A127">
        <v>125</v>
      </c>
      <c r="B127" t="s">
        <v>377</v>
      </c>
      <c r="C127" t="s">
        <v>378</v>
      </c>
      <c r="D127" t="s">
        <v>379</v>
      </c>
      <c r="E127">
        <v>23849</v>
      </c>
      <c r="F127" t="str">
        <f>HYPERLINK("http://mouse.brain-map.org/brain/Klf6/70431247.html?ispopup=true","Series summary")</f>
        <v>Series summary</v>
      </c>
      <c r="G127" t="str">
        <f>HYPERLINK("http://mouse.brain-map.org/brain/Klf6/70431247/thumbnails.html?ispopup=true","Thumbnails")</f>
        <v>Thumbnails</v>
      </c>
    </row>
    <row r="128" spans="1:7" ht="12.75">
      <c r="A128">
        <v>126</v>
      </c>
      <c r="B128" t="s">
        <v>380</v>
      </c>
      <c r="C128" t="s">
        <v>381</v>
      </c>
      <c r="D128" t="s">
        <v>382</v>
      </c>
      <c r="E128">
        <v>50786</v>
      </c>
      <c r="F128" t="str">
        <f>HYPERLINK("http://mouse.brain-map.org/brain/Hs6st2/72129255.html?ispopup=true","Series summary")</f>
        <v>Series summary</v>
      </c>
      <c r="G128" t="str">
        <f>HYPERLINK("http://mouse.brain-map.org/brain/Hs6st2/72129255/thumbnails.html?ispopup=true","Thumbnails")</f>
        <v>Thumbnails</v>
      </c>
    </row>
    <row r="129" spans="1:7" ht="12.75">
      <c r="A129">
        <v>127</v>
      </c>
      <c r="B129" t="s">
        <v>383</v>
      </c>
      <c r="C129" t="s">
        <v>384</v>
      </c>
      <c r="D129" t="s">
        <v>385</v>
      </c>
      <c r="E129">
        <v>70546</v>
      </c>
      <c r="F129" t="str">
        <f>HYPERLINK("http://mouse.brain-map.org/brain/Zdhhc2/72128751.html?ispopup=true","Series summary")</f>
        <v>Series summary</v>
      </c>
      <c r="G129" t="str">
        <f>HYPERLINK("http://mouse.brain-map.org/brain/Zdhhc2/72128751/thumbnails.html?ispopup=true","Thumbnails")</f>
        <v>Thumbnails</v>
      </c>
    </row>
    <row r="130" spans="1:7" ht="12.75">
      <c r="A130">
        <v>128</v>
      </c>
      <c r="B130" t="s">
        <v>386</v>
      </c>
      <c r="C130" t="s">
        <v>387</v>
      </c>
      <c r="D130" t="s">
        <v>388</v>
      </c>
      <c r="E130">
        <v>21336</v>
      </c>
      <c r="F130" t="str">
        <f>HYPERLINK("http://mouse.brain-map.org/brain/Tacr1/79591721.html?ispopup=true","Series summary")</f>
        <v>Series summary</v>
      </c>
      <c r="G130" t="str">
        <f>HYPERLINK("http://mouse.brain-map.org/brain/Tacr1/79591721/thumbnails.html?ispopup=true","Thumbnails")</f>
        <v>Thumbnails</v>
      </c>
    </row>
    <row r="131" spans="1:7" ht="12.75">
      <c r="A131">
        <v>129</v>
      </c>
      <c r="B131" t="s">
        <v>389</v>
      </c>
      <c r="C131" t="s">
        <v>390</v>
      </c>
      <c r="D131" t="s">
        <v>391</v>
      </c>
      <c r="E131">
        <v>75156</v>
      </c>
      <c r="F131" t="str">
        <f>HYPERLINK("http://mouse.brain-map.org/brain/Plb1/75214962.html?ispopup=true","Series summary")</f>
        <v>Series summary</v>
      </c>
      <c r="G131" t="str">
        <f>HYPERLINK("http://mouse.brain-map.org/brain/Plb1/75214962/thumbnails.html?ispopup=true","Thumbnails")</f>
        <v>Thumbnails</v>
      </c>
    </row>
    <row r="132" spans="1:7" ht="12.75">
      <c r="A132">
        <v>130</v>
      </c>
      <c r="B132" t="s">
        <v>392</v>
      </c>
      <c r="C132" t="s">
        <v>393</v>
      </c>
      <c r="D132" t="s">
        <v>394</v>
      </c>
      <c r="E132">
        <v>225288</v>
      </c>
      <c r="F132" t="str">
        <f>HYPERLINK("http://mouse.brain-map.org/brain/Fhod3/70565557.html?ispopup=true","Series summary")</f>
        <v>Series summary</v>
      </c>
      <c r="G132" t="str">
        <f>HYPERLINK("http://mouse.brain-map.org/brain/Fhod3/70565557/thumbnails.html?ispopup=true","Thumbnails")</f>
        <v>Thumbnails</v>
      </c>
    </row>
    <row r="133" spans="1:7" ht="12.75">
      <c r="A133">
        <v>131</v>
      </c>
      <c r="B133" t="s">
        <v>395</v>
      </c>
      <c r="C133" t="s">
        <v>396</v>
      </c>
      <c r="D133" t="s">
        <v>397</v>
      </c>
      <c r="E133">
        <v>234577</v>
      </c>
      <c r="F133" t="str">
        <f>HYPERLINK("http://mouse.brain-map.org/brain/Cpne2/70743844.html?ispopup=true","Series summary")</f>
        <v>Series summary</v>
      </c>
      <c r="G133" t="str">
        <f>HYPERLINK("http://mouse.brain-map.org/brain/Cpne2/70743844/thumbnails.html?ispopup=true","Thumbnails")</f>
        <v>Thumbnails</v>
      </c>
    </row>
    <row r="134" spans="1:7" ht="12.75">
      <c r="A134">
        <v>132</v>
      </c>
      <c r="B134" t="s">
        <v>398</v>
      </c>
      <c r="C134" t="s">
        <v>399</v>
      </c>
      <c r="D134" t="s">
        <v>400</v>
      </c>
      <c r="E134">
        <v>242773</v>
      </c>
      <c r="F134" t="str">
        <f>HYPERLINK("http://mouse.brain-map.org/brain/Slc45a1/69626997.html?ispopup=true","Series summary")</f>
        <v>Series summary</v>
      </c>
      <c r="G134" t="str">
        <f>HYPERLINK("http://mouse.brain-map.org/brain/Slc45a1/69626997/thumbnails.html?ispopup=true","Thumbnails")</f>
        <v>Thumbnails</v>
      </c>
    </row>
    <row r="135" spans="1:7" ht="12.75">
      <c r="A135">
        <v>133</v>
      </c>
      <c r="B135" t="s">
        <v>401</v>
      </c>
      <c r="C135" t="s">
        <v>402</v>
      </c>
      <c r="D135" t="s">
        <v>403</v>
      </c>
      <c r="E135">
        <v>12484</v>
      </c>
      <c r="F135" t="str">
        <f>HYPERLINK("http://mouse.brain-map.org/brain/Cd24a/79591541.html?ispopup=true","Series summary")</f>
        <v>Series summary</v>
      </c>
      <c r="G135" t="str">
        <f>HYPERLINK("http://mouse.brain-map.org/brain/Cd24a/79591541/thumbnails.html?ispopup=true","Thumbnails")</f>
        <v>Thumbnails</v>
      </c>
    </row>
    <row r="136" spans="1:7" ht="12.75">
      <c r="A136">
        <v>134</v>
      </c>
      <c r="B136" t="s">
        <v>404</v>
      </c>
      <c r="C136" t="s">
        <v>405</v>
      </c>
      <c r="D136" t="s">
        <v>406</v>
      </c>
      <c r="E136">
        <v>209513</v>
      </c>
      <c r="F136" t="str">
        <f>HYPERLINK("http://mouse.brain-map.org/brain/Taar4/73497217.html?ispopup=true","Series summary")</f>
        <v>Series summary</v>
      </c>
      <c r="G136" t="str">
        <f>HYPERLINK("http://mouse.brain-map.org/brain/Taar4/73497217/thumbnails.html?ispopup=true","Thumbnails")</f>
        <v>Thumbnails</v>
      </c>
    </row>
    <row r="137" spans="1:7" ht="12.75">
      <c r="A137">
        <v>135</v>
      </c>
      <c r="B137" t="s">
        <v>407</v>
      </c>
      <c r="C137" t="s">
        <v>408</v>
      </c>
      <c r="D137" t="s">
        <v>409</v>
      </c>
      <c r="E137">
        <v>54195</v>
      </c>
      <c r="F137" t="str">
        <f>HYPERLINK("http://mouse.brain-map.org/brain/Gucy1b3/69734845.html?ispopup=true","Series summary")</f>
        <v>Series summary</v>
      </c>
      <c r="G137" t="str">
        <f>HYPERLINK("http://mouse.brain-map.org/brain/Gucy1b3/69734845/thumbnails.html?ispopup=true","Thumbnails")</f>
        <v>Thumbnails</v>
      </c>
    </row>
    <row r="138" spans="1:7" ht="12.75">
      <c r="A138">
        <v>136</v>
      </c>
      <c r="B138" t="s">
        <v>410</v>
      </c>
      <c r="C138" t="s">
        <v>411</v>
      </c>
      <c r="D138" t="s">
        <v>412</v>
      </c>
      <c r="E138">
        <v>12704</v>
      </c>
      <c r="F138" t="str">
        <f>HYPERLINK("http://mouse.brain-map.org/brain/Cit/75079801.html?ispopup=true","Series summary")</f>
        <v>Series summary</v>
      </c>
      <c r="G138" t="str">
        <f>HYPERLINK("http://mouse.brain-map.org/brain/Cit/75079801/thumbnails.html?ispopup=true","Thumbnails")</f>
        <v>Thumbnails</v>
      </c>
    </row>
    <row r="139" spans="1:7" ht="12.75">
      <c r="A139">
        <v>137</v>
      </c>
      <c r="B139" t="s">
        <v>413</v>
      </c>
      <c r="C139" t="s">
        <v>414</v>
      </c>
      <c r="D139" t="s">
        <v>415</v>
      </c>
      <c r="E139">
        <v>67943</v>
      </c>
      <c r="F139" t="str">
        <f>HYPERLINK("http://mouse.brain-map.org/brain/Mesdc2/69015464.html?ispopup=true","Series summary")</f>
        <v>Series summary</v>
      </c>
      <c r="G139" t="str">
        <f>HYPERLINK("http://mouse.brain-map.org/brain/Mesdc2/69015464/thumbnails.html?ispopup=true","Thumbnails")</f>
        <v>Thumbnails</v>
      </c>
    </row>
    <row r="140" spans="1:7" ht="12.75">
      <c r="A140">
        <v>138</v>
      </c>
      <c r="B140" t="s">
        <v>416</v>
      </c>
      <c r="C140" t="s">
        <v>417</v>
      </c>
      <c r="D140" t="s">
        <v>418</v>
      </c>
      <c r="E140">
        <v>20516</v>
      </c>
      <c r="F140" t="str">
        <f>HYPERLINK("http://mouse.brain-map.org/brain/Slc20a2/70231308.html?ispopup=true","Series summary")</f>
        <v>Series summary</v>
      </c>
      <c r="G140" t="str">
        <f>HYPERLINK("http://mouse.brain-map.org/brain/Slc20a2/70231308/thumbnails.html?ispopup=true","Thumbnails")</f>
        <v>Thumbnails</v>
      </c>
    </row>
    <row r="141" spans="1:7" ht="12.75">
      <c r="A141">
        <v>139</v>
      </c>
      <c r="B141" t="s">
        <v>419</v>
      </c>
      <c r="C141" t="s">
        <v>420</v>
      </c>
      <c r="D141" t="s">
        <v>421</v>
      </c>
      <c r="E141">
        <v>18188</v>
      </c>
      <c r="F141" t="str">
        <f>HYPERLINK("http://mouse.brain-map.org/brain/Nrtn/69117402.html?ispopup=true","Series summary")</f>
        <v>Series summary</v>
      </c>
      <c r="G141" t="str">
        <f>HYPERLINK("http://mouse.brain-map.org/brain/Nrtn/69117402/thumbnails.html?ispopup=true","Thumbnails")</f>
        <v>Thumbnails</v>
      </c>
    </row>
    <row r="142" spans="1:7" ht="12.75">
      <c r="A142">
        <v>140</v>
      </c>
      <c r="B142" t="s">
        <v>422</v>
      </c>
      <c r="C142" t="s">
        <v>423</v>
      </c>
      <c r="D142" t="s">
        <v>424</v>
      </c>
      <c r="E142">
        <v>14681</v>
      </c>
      <c r="F142" t="str">
        <f>HYPERLINK("http://mouse.brain-map.org/brain/Gnao1/506.html?ispopup=true","Series summary")</f>
        <v>Series summary</v>
      </c>
      <c r="G142" t="str">
        <f>HYPERLINK("http://mouse.brain-map.org/brain/Gnao1/506/thumbnails.html?ispopup=true","Thumbnails")</f>
        <v>Thumbnails</v>
      </c>
    </row>
    <row r="143" spans="1:7" ht="12.75">
      <c r="A143">
        <v>141</v>
      </c>
      <c r="B143" t="s">
        <v>425</v>
      </c>
      <c r="C143" t="s">
        <v>426</v>
      </c>
      <c r="D143" t="s">
        <v>427</v>
      </c>
      <c r="E143">
        <v>17765</v>
      </c>
      <c r="F143" t="str">
        <f>HYPERLINK("http://mouse.brain-map.org/brain/Mtf2/1510.html?ispopup=true","Series summary")</f>
        <v>Series summary</v>
      </c>
      <c r="G143" t="str">
        <f>HYPERLINK("http://mouse.brain-map.org/brain/Mtf2/1510/thumbnails.html?ispopup=true","Thumbnails")</f>
        <v>Thumbnails</v>
      </c>
    </row>
    <row r="144" spans="1:7" ht="12.75">
      <c r="A144">
        <v>142</v>
      </c>
      <c r="B144" t="s">
        <v>428</v>
      </c>
      <c r="C144" t="s">
        <v>429</v>
      </c>
      <c r="D144" t="s">
        <v>430</v>
      </c>
      <c r="E144">
        <v>269959</v>
      </c>
      <c r="F144" t="str">
        <f>HYPERLINK("http://mouse.brain-map.org/brain/Adamtsl3/73925720.html?ispopup=true","Series summary")</f>
        <v>Series summary</v>
      </c>
      <c r="G144" t="str">
        <f>HYPERLINK("http://mouse.brain-map.org/brain/Adamtsl3/73925720/thumbnails.html?ispopup=true","Thumbnails")</f>
        <v>Thumbnails</v>
      </c>
    </row>
    <row r="145" spans="1:7" ht="12.75">
      <c r="A145">
        <v>143</v>
      </c>
      <c r="B145" t="s">
        <v>431</v>
      </c>
      <c r="C145" t="s">
        <v>432</v>
      </c>
      <c r="D145" t="s">
        <v>433</v>
      </c>
      <c r="E145" t="s">
        <v>58</v>
      </c>
      <c r="F145" t="str">
        <f>HYPERLINK("http://mouse.brain-map.org/brain/mCG141917/75080643.html?ispopup=true","Series summary")</f>
        <v>Series summary</v>
      </c>
      <c r="G145" t="str">
        <f>HYPERLINK("http://mouse.brain-map.org/brain/mCG141917/75080643/thumbnails.html?ispopup=true","Thumbnails")</f>
        <v>Thumbnails</v>
      </c>
    </row>
    <row r="146" spans="1:7" ht="12.75">
      <c r="A146">
        <v>144</v>
      </c>
      <c r="B146" t="s">
        <v>434</v>
      </c>
      <c r="C146" t="s">
        <v>435</v>
      </c>
      <c r="D146" t="s">
        <v>436</v>
      </c>
      <c r="E146">
        <v>319522</v>
      </c>
      <c r="F146" t="str">
        <f>HYPERLINK("http://mouse.brain-map.org/brain/D930046H04Rik/70238830.html?ispopup=true","Series summary")</f>
        <v>Series summary</v>
      </c>
      <c r="G146" t="str">
        <f>HYPERLINK("http://mouse.brain-map.org/brain/D930046H04Rik/70238830/thumbnails.html?ispopup=true","Thumbnails")</f>
        <v>Thumbnails</v>
      </c>
    </row>
    <row r="147" spans="1:7" ht="12.75">
      <c r="A147">
        <v>145</v>
      </c>
      <c r="B147" t="s">
        <v>437</v>
      </c>
      <c r="C147" t="s">
        <v>438</v>
      </c>
      <c r="D147" t="s">
        <v>439</v>
      </c>
      <c r="E147">
        <v>18134</v>
      </c>
      <c r="F147" t="str">
        <f>HYPERLINK("http://mouse.brain-map.org/brain/Nova1/70300565.html?ispopup=true","Series summary")</f>
        <v>Series summary</v>
      </c>
      <c r="G147" t="str">
        <f>HYPERLINK("http://mouse.brain-map.org/brain/Nova1/70300565/thumbnails.html?ispopup=true","Thumbnails")</f>
        <v>Thumbnails</v>
      </c>
    </row>
    <row r="148" spans="1:7" ht="12.75">
      <c r="A148">
        <v>146</v>
      </c>
      <c r="B148" t="s">
        <v>440</v>
      </c>
      <c r="C148" t="s">
        <v>441</v>
      </c>
      <c r="D148" t="s">
        <v>442</v>
      </c>
      <c r="E148">
        <v>70955</v>
      </c>
      <c r="F148" t="str">
        <f>HYPERLINK("http://mouse.brain-map.org/brain/4931403M11Rik/70218456.html?ispopup=true","Series summary")</f>
        <v>Series summary</v>
      </c>
      <c r="G148" t="str">
        <f>HYPERLINK("http://mouse.brain-map.org/brain/4931403M11Rik/70218456/thumbnails.html?ispopup=true","Thumbnails")</f>
        <v>Thumbnails</v>
      </c>
    </row>
    <row r="149" spans="1:7" ht="12.75">
      <c r="A149">
        <v>147</v>
      </c>
      <c r="B149" t="s">
        <v>443</v>
      </c>
      <c r="C149" t="s">
        <v>444</v>
      </c>
      <c r="D149" t="s">
        <v>445</v>
      </c>
      <c r="E149">
        <v>68337</v>
      </c>
      <c r="F149" t="str">
        <f>HYPERLINK("http://mouse.brain-map.org/brain/Crip2/70612727.html?ispopup=true","Series summary")</f>
        <v>Series summary</v>
      </c>
      <c r="G149" t="str">
        <f>HYPERLINK("http://mouse.brain-map.org/brain/Crip2/70612727/thumbnails.html?ispopup=true","Thumbnails")</f>
        <v>Thumbnails</v>
      </c>
    </row>
    <row r="150" spans="1:7" ht="12.75">
      <c r="A150">
        <v>148</v>
      </c>
      <c r="B150" t="s">
        <v>446</v>
      </c>
      <c r="C150" t="s">
        <v>447</v>
      </c>
      <c r="D150" t="s">
        <v>448</v>
      </c>
      <c r="E150">
        <v>329641</v>
      </c>
      <c r="F150" t="str">
        <f>HYPERLINK("http://mouse.brain-map.org/brain/6030405A18Rik/71920518.html?ispopup=true","Series summary")</f>
        <v>Series summary</v>
      </c>
      <c r="G150" t="str">
        <f>HYPERLINK("http://mouse.brain-map.org/brain/6030405A18Rik/71920518/thumbnails.html?ispopup=true","Thumbnails")</f>
        <v>Thumbnails</v>
      </c>
    </row>
    <row r="151" spans="1:7" ht="12.75">
      <c r="A151">
        <v>149</v>
      </c>
      <c r="B151" t="s">
        <v>449</v>
      </c>
      <c r="C151" t="s">
        <v>450</v>
      </c>
      <c r="D151" t="s">
        <v>451</v>
      </c>
      <c r="E151">
        <v>19213</v>
      </c>
      <c r="F151" t="str">
        <f>HYPERLINK("http://mouse.brain-map.org/brain/Ptf1a/81657673.html?ispopup=true","Series summary")</f>
        <v>Series summary</v>
      </c>
      <c r="G151" t="str">
        <f>HYPERLINK("http://mouse.brain-map.org/brain/Ptf1a/81657673/thumbnails.html?ispopup=true","Thumbnails")</f>
        <v>Thumbnails</v>
      </c>
    </row>
    <row r="152" spans="1:7" ht="12.75">
      <c r="A152">
        <v>150</v>
      </c>
      <c r="B152" t="s">
        <v>186</v>
      </c>
      <c r="C152" t="s">
        <v>452</v>
      </c>
      <c r="D152" t="s">
        <v>188</v>
      </c>
      <c r="E152">
        <v>16728</v>
      </c>
      <c r="F152" t="str">
        <f>HYPERLINK("http://mouse.brain-map.org/brain/L1cam/79591595.html?ispopup=true","Series summary")</f>
        <v>Series summary</v>
      </c>
      <c r="G152" t="str">
        <f>HYPERLINK("http://mouse.brain-map.org/brain/L1cam/79591595/thumbnails.html?ispopup=true","Thumbnails")</f>
        <v>Thumbnails</v>
      </c>
    </row>
    <row r="153" spans="1:7" ht="12.75">
      <c r="A153">
        <v>151</v>
      </c>
      <c r="B153" t="s">
        <v>453</v>
      </c>
      <c r="C153" t="s">
        <v>454</v>
      </c>
      <c r="D153" t="s">
        <v>455</v>
      </c>
      <c r="E153">
        <v>20193</v>
      </c>
      <c r="F153" t="str">
        <f>HYPERLINK("http://mouse.brain-map.org/brain/S100a1/70429411.html?ispopup=true","Series summary")</f>
        <v>Series summary</v>
      </c>
      <c r="G153" t="str">
        <f>HYPERLINK("http://mouse.brain-map.org/brain/S100a1/70429411/thumbnails.html?ispopup=true","Thumbnails")</f>
        <v>Thumbnails</v>
      </c>
    </row>
    <row r="154" spans="1:7" ht="12.75">
      <c r="A154">
        <v>152</v>
      </c>
      <c r="B154" t="s">
        <v>456</v>
      </c>
      <c r="C154" t="s">
        <v>457</v>
      </c>
      <c r="D154" t="s">
        <v>458</v>
      </c>
      <c r="E154">
        <v>218503</v>
      </c>
      <c r="F154" t="str">
        <f>HYPERLINK("http://mouse.brain-map.org/brain/Fcho2/68667593.html?ispopup=true","Series summary")</f>
        <v>Series summary</v>
      </c>
      <c r="G154" t="str">
        <f>HYPERLINK("http://mouse.brain-map.org/brain/Fcho2/68667593/thumbnails.html?ispopup=true","Thumbnails")</f>
        <v>Thumbnails</v>
      </c>
    </row>
    <row r="155" spans="1:7" ht="12.75">
      <c r="A155">
        <v>153</v>
      </c>
      <c r="B155" t="s">
        <v>459</v>
      </c>
      <c r="C155" t="s">
        <v>460</v>
      </c>
      <c r="D155" t="s">
        <v>461</v>
      </c>
      <c r="E155">
        <v>14239</v>
      </c>
      <c r="F155" t="str">
        <f>HYPERLINK("http://mouse.brain-map.org/brain/Fkhl18/69288980.html?ispopup=true","Series summary")</f>
        <v>Series summary</v>
      </c>
      <c r="G155" t="str">
        <f>HYPERLINK("http://mouse.brain-map.org/brain/Fkhl18/69288980/thumbnails.html?ispopup=true","Thumbnails")</f>
        <v>Thumbnails</v>
      </c>
    </row>
    <row r="156" spans="1:7" ht="12.75">
      <c r="A156">
        <v>154</v>
      </c>
      <c r="B156" t="s">
        <v>462</v>
      </c>
      <c r="C156" t="s">
        <v>463</v>
      </c>
      <c r="D156" t="s">
        <v>464</v>
      </c>
      <c r="E156">
        <v>74432</v>
      </c>
      <c r="F156" t="str">
        <f>HYPERLINK("http://mouse.brain-map.org/brain/4932442L08Rik/70218582.html?ispopup=true","Series summary")</f>
        <v>Series summary</v>
      </c>
      <c r="G156" t="str">
        <f>HYPERLINK("http://mouse.brain-map.org/brain/4932442L08Rik/70218582/thumbnails.html?ispopup=true","Thumbnails")</f>
        <v>Thumbnails</v>
      </c>
    </row>
    <row r="157" spans="1:7" ht="12.75">
      <c r="A157">
        <v>155</v>
      </c>
      <c r="B157" t="s">
        <v>465</v>
      </c>
      <c r="C157" t="s">
        <v>466</v>
      </c>
      <c r="D157" t="s">
        <v>467</v>
      </c>
      <c r="E157">
        <v>57080</v>
      </c>
      <c r="F157" t="str">
        <f>HYPERLINK("http://mouse.brain-map.org/brain/Gtf2ird1/74510284.html?ispopup=true","Series summary")</f>
        <v>Series summary</v>
      </c>
      <c r="G157" t="str">
        <f>HYPERLINK("http://mouse.brain-map.org/brain/Gtf2ird1/74510284/thumbnails.html?ispopup=true","Thumbnails")</f>
        <v>Thumbnails</v>
      </c>
    </row>
    <row r="158" spans="1:7" ht="12.75">
      <c r="A158">
        <v>156</v>
      </c>
      <c r="B158" t="s">
        <v>468</v>
      </c>
      <c r="C158" t="s">
        <v>469</v>
      </c>
      <c r="D158" t="s">
        <v>470</v>
      </c>
      <c r="E158" t="s">
        <v>58</v>
      </c>
      <c r="F158" t="str">
        <f>HYPERLINK("http://mouse.brain-map.org/brain/mCG1049722.1/75692992.html?ispopup=true","Series summary")</f>
        <v>Series summary</v>
      </c>
      <c r="G158" t="str">
        <f>HYPERLINK("http://mouse.brain-map.org/brain/mCG1049722.1/75692992/thumbnails.html?ispopup=true","Thumbnails")</f>
        <v>Thumbnails</v>
      </c>
    </row>
    <row r="159" spans="1:7" ht="12.75">
      <c r="A159">
        <v>157</v>
      </c>
      <c r="B159" t="s">
        <v>380</v>
      </c>
      <c r="C159" t="s">
        <v>471</v>
      </c>
      <c r="D159" t="s">
        <v>382</v>
      </c>
      <c r="E159">
        <v>50786</v>
      </c>
      <c r="F159" t="str">
        <f>HYPERLINK("http://mouse.brain-map.org/brain/Hs6st2/69116691.html?ispopup=true","Series summary")</f>
        <v>Series summary</v>
      </c>
      <c r="G159" t="str">
        <f>HYPERLINK("http://mouse.brain-map.org/brain/Hs6st2/69116691/thumbnails.html?ispopup=true","Thumbnails")</f>
        <v>Thumbnails</v>
      </c>
    </row>
    <row r="160" spans="1:7" ht="12.75">
      <c r="A160">
        <v>158</v>
      </c>
      <c r="B160" t="s">
        <v>472</v>
      </c>
      <c r="C160" t="s">
        <v>473</v>
      </c>
      <c r="D160" t="s">
        <v>474</v>
      </c>
      <c r="E160">
        <v>16815</v>
      </c>
      <c r="F160" t="str">
        <f>HYPERLINK("http://mouse.brain-map.org/brain/Lbx2/69816613.html?ispopup=true","Series summary")</f>
        <v>Series summary</v>
      </c>
      <c r="G160" t="str">
        <f>HYPERLINK("http://mouse.brain-map.org/brain/Lbx2/69816613/thumbnails.html?ispopup=true","Thumbnails")</f>
        <v>Thumbnails</v>
      </c>
    </row>
    <row r="161" spans="1:7" ht="12.75">
      <c r="A161">
        <v>159</v>
      </c>
      <c r="B161" t="s">
        <v>475</v>
      </c>
      <c r="C161" t="s">
        <v>476</v>
      </c>
      <c r="D161" t="s">
        <v>477</v>
      </c>
      <c r="E161">
        <v>83922</v>
      </c>
      <c r="F161" t="str">
        <f>HYPERLINK("http://mouse.brain-map.org/brain/Tsga14/68151448.html?ispopup=true","Series summary")</f>
        <v>Series summary</v>
      </c>
      <c r="G161" t="str">
        <f>HYPERLINK("http://mouse.brain-map.org/brain/Tsga14/68151448/thumbnails.html?ispopup=true","Thumbnails")</f>
        <v>Thumbnails</v>
      </c>
    </row>
    <row r="162" spans="1:7" ht="12.75">
      <c r="A162">
        <v>160</v>
      </c>
      <c r="B162" t="s">
        <v>478</v>
      </c>
      <c r="C162" t="s">
        <v>479</v>
      </c>
      <c r="D162" t="s">
        <v>480</v>
      </c>
      <c r="E162">
        <v>18216</v>
      </c>
      <c r="F162" t="str">
        <f>HYPERLINK("http://mouse.brain-map.org/brain/Ntsr1/80342232.html?ispopup=true","Series summary")</f>
        <v>Series summary</v>
      </c>
      <c r="G162" t="str">
        <f>HYPERLINK("http://mouse.brain-map.org/brain/Ntsr1/80342232/thumbnails.html?ispopup=true","Thumbnails")</f>
        <v>Thumbnails</v>
      </c>
    </row>
    <row r="163" spans="1:7" ht="12.75">
      <c r="A163">
        <v>161</v>
      </c>
      <c r="B163" t="s">
        <v>481</v>
      </c>
      <c r="C163" t="s">
        <v>482</v>
      </c>
      <c r="D163" t="s">
        <v>483</v>
      </c>
      <c r="E163">
        <v>236643</v>
      </c>
      <c r="F163" t="str">
        <f>HYPERLINK("http://mouse.brain-map.org/brain/Sytl5/73930809.html?ispopup=true","Series summary")</f>
        <v>Series summary</v>
      </c>
      <c r="G163" t="str">
        <f>HYPERLINK("http://mouse.brain-map.org/brain/Sytl5/73930809/thumbnails.html?ispopup=true","Thumbnails")</f>
        <v>Thumbnails</v>
      </c>
    </row>
    <row r="164" spans="1:7" ht="12.75">
      <c r="A164">
        <v>162</v>
      </c>
      <c r="B164" t="s">
        <v>484</v>
      </c>
      <c r="C164" t="s">
        <v>485</v>
      </c>
      <c r="D164" t="s">
        <v>486</v>
      </c>
      <c r="E164">
        <v>13869</v>
      </c>
      <c r="F164" t="str">
        <f>HYPERLINK("http://mouse.brain-map.org/brain/Erbb4/72472797.html?ispopup=true","Series summary")</f>
        <v>Series summary</v>
      </c>
      <c r="G164" t="str">
        <f>HYPERLINK("http://mouse.brain-map.org/brain/Erbb4/72472797/thumbnails.html?ispopup=true","Thumbnails")</f>
        <v>Thumbnails</v>
      </c>
    </row>
    <row r="165" spans="1:7" ht="12.75">
      <c r="A165">
        <v>163</v>
      </c>
      <c r="B165" t="s">
        <v>487</v>
      </c>
      <c r="C165" t="s">
        <v>488</v>
      </c>
      <c r="D165" t="s">
        <v>489</v>
      </c>
      <c r="E165">
        <v>14657</v>
      </c>
      <c r="F165" t="str">
        <f>HYPERLINK("http://mouse.brain-map.org/brain/Glra4/70724744.html?ispopup=true","Series summary")</f>
        <v>Series summary</v>
      </c>
      <c r="G165" t="str">
        <f>HYPERLINK("http://mouse.brain-map.org/brain/Glra4/70724744/thumbnails.html?ispopup=true","Thumbnails")</f>
        <v>Thumbnails</v>
      </c>
    </row>
    <row r="166" spans="1:7" ht="12.75">
      <c r="A166">
        <v>164</v>
      </c>
      <c r="B166" t="s">
        <v>490</v>
      </c>
      <c r="C166" t="s">
        <v>491</v>
      </c>
      <c r="D166" t="s">
        <v>492</v>
      </c>
      <c r="E166">
        <v>66871</v>
      </c>
      <c r="F166" t="str">
        <f>HYPERLINK("http://mouse.brain-map.org/brain/Cpne8/73520974.html?ispopup=true","Series summary")</f>
        <v>Series summary</v>
      </c>
      <c r="G166" t="str">
        <f>HYPERLINK("http://mouse.brain-map.org/brain/Cpne8/73520974/thumbnails.html?ispopup=true","Thumbnails")</f>
        <v>Thumbnails</v>
      </c>
    </row>
    <row r="167" spans="1:7" ht="12.75">
      <c r="A167">
        <v>165</v>
      </c>
      <c r="B167" t="s">
        <v>493</v>
      </c>
      <c r="C167" t="s">
        <v>494</v>
      </c>
      <c r="D167" t="s">
        <v>495</v>
      </c>
      <c r="E167">
        <v>353211</v>
      </c>
      <c r="F167" t="str">
        <f>HYPERLINK("http://mouse.brain-map.org/brain/A230083H22Rik/71809205.html?ispopup=true","Series summary")</f>
        <v>Series summary</v>
      </c>
      <c r="G167" t="str">
        <f>HYPERLINK("http://mouse.brain-map.org/brain/A230083H22Rik/71809205/thumbnails.html?ispopup=true","Thumbnails")</f>
        <v>Thumbnails</v>
      </c>
    </row>
    <row r="168" spans="1:7" ht="12.75">
      <c r="A168">
        <v>166</v>
      </c>
      <c r="B168" t="s">
        <v>496</v>
      </c>
      <c r="C168" t="s">
        <v>497</v>
      </c>
      <c r="D168" t="s">
        <v>498</v>
      </c>
      <c r="E168">
        <v>320405</v>
      </c>
      <c r="F168" t="str">
        <f>HYPERLINK("http://mouse.brain-map.org/brain/Cadps2/73817429.html?ispopup=true","Series summary")</f>
        <v>Series summary</v>
      </c>
      <c r="G168" t="str">
        <f>HYPERLINK("http://mouse.brain-map.org/brain/Cadps2/73817429/thumbnails.html?ispopup=true","Thumbnails")</f>
        <v>Thumbnails</v>
      </c>
    </row>
    <row r="169" spans="1:7" ht="12.75">
      <c r="A169">
        <v>167</v>
      </c>
      <c r="B169" t="s">
        <v>499</v>
      </c>
      <c r="C169" t="s">
        <v>500</v>
      </c>
      <c r="D169" t="s">
        <v>501</v>
      </c>
      <c r="E169">
        <v>385317</v>
      </c>
      <c r="F169" t="str">
        <f>HYPERLINK("http://mouse.brain-map.org/brain/4930557A04Rik/73513290.html?ispopup=true","Series summary")</f>
        <v>Series summary</v>
      </c>
      <c r="G169" t="str">
        <f>HYPERLINK("http://mouse.brain-map.org/brain/4930557A04Rik/73513290/thumbnails.html?ispopup=true","Thumbnails")</f>
        <v>Thumbnails</v>
      </c>
    </row>
    <row r="170" spans="1:7" ht="12.75">
      <c r="A170">
        <v>168</v>
      </c>
      <c r="B170" t="s">
        <v>502</v>
      </c>
      <c r="C170" t="s">
        <v>503</v>
      </c>
      <c r="D170" t="s">
        <v>504</v>
      </c>
      <c r="E170">
        <v>70427</v>
      </c>
      <c r="F170" t="str">
        <f>HYPERLINK("http://mouse.brain-map.org/brain/Mier2/393264.html?ispopup=true","Series summary")</f>
        <v>Series summary</v>
      </c>
      <c r="G170" t="str">
        <f>HYPERLINK("http://mouse.brain-map.org/brain/Mier2/393264/thumbnails.html?ispopup=true","Thumbnails")</f>
        <v>Thumbnails</v>
      </c>
    </row>
    <row r="171" spans="1:7" ht="12.75">
      <c r="A171">
        <v>169</v>
      </c>
      <c r="B171" t="s">
        <v>505</v>
      </c>
      <c r="C171" t="s">
        <v>506</v>
      </c>
      <c r="D171" t="s">
        <v>507</v>
      </c>
      <c r="E171">
        <v>66440</v>
      </c>
      <c r="F171" t="str">
        <f>HYPERLINK("http://mouse.brain-map.org/brain/Cdc26/392912.html?ispopup=true","Series summary")</f>
        <v>Series summary</v>
      </c>
      <c r="G171" t="str">
        <f>HYPERLINK("http://mouse.brain-map.org/brain/Cdc26/392912/thumbnails.html?ispopup=true","Thumbnails")</f>
        <v>Thumbnails</v>
      </c>
    </row>
    <row r="172" spans="1:7" ht="12.75">
      <c r="A172">
        <v>170</v>
      </c>
      <c r="B172" t="s">
        <v>508</v>
      </c>
      <c r="C172" t="s">
        <v>509</v>
      </c>
      <c r="D172" t="s">
        <v>510</v>
      </c>
      <c r="E172">
        <v>29815</v>
      </c>
      <c r="F172" t="str">
        <f>HYPERLINK("http://mouse.brain-map.org/brain/Bcar3/77371769.html?ispopup=true","Series summary")</f>
        <v>Series summary</v>
      </c>
      <c r="G172" t="str">
        <f>HYPERLINK("http://mouse.brain-map.org/brain/Bcar3/77371769/thumbnails.html?ispopup=true","Thumbnails")</f>
        <v>Thumbnails</v>
      </c>
    </row>
    <row r="173" spans="1:7" ht="12.75">
      <c r="A173">
        <v>171</v>
      </c>
      <c r="B173" t="s">
        <v>511</v>
      </c>
      <c r="C173" t="s">
        <v>512</v>
      </c>
      <c r="D173" t="s">
        <v>513</v>
      </c>
      <c r="E173">
        <v>27015</v>
      </c>
      <c r="F173" t="str">
        <f>HYPERLINK("http://mouse.brain-map.org/brain/Polk/75077171.html?ispopup=true","Series summary")</f>
        <v>Series summary</v>
      </c>
      <c r="G173" t="str">
        <f>HYPERLINK("http://mouse.brain-map.org/brain/Polk/75077171/thumbnails.html?ispopup=true","Thumbnails")</f>
        <v>Thumbnails</v>
      </c>
    </row>
    <row r="174" spans="1:7" ht="12.75">
      <c r="A174">
        <v>172</v>
      </c>
      <c r="B174" t="s">
        <v>514</v>
      </c>
      <c r="C174" t="s">
        <v>515</v>
      </c>
      <c r="D174" t="s">
        <v>516</v>
      </c>
      <c r="E174">
        <v>20617</v>
      </c>
      <c r="F174" t="str">
        <f>HYPERLINK("http://mouse.brain-map.org/brain/Snca/79908848.html?ispopup=true","Series summary")</f>
        <v>Series summary</v>
      </c>
      <c r="G174" t="str">
        <f>HYPERLINK("http://mouse.brain-map.org/brain/Snca/79908848/thumbnails.html?ispopup=true","Thumbnails")</f>
        <v>Thumbnails</v>
      </c>
    </row>
    <row r="175" spans="1:7" ht="12.75">
      <c r="A175">
        <v>173</v>
      </c>
      <c r="B175" t="s">
        <v>517</v>
      </c>
      <c r="C175" t="s">
        <v>518</v>
      </c>
      <c r="D175" t="s">
        <v>519</v>
      </c>
      <c r="E175">
        <v>66230</v>
      </c>
      <c r="F175" t="str">
        <f>HYPERLINK("http://mouse.brain-map.org/brain/Mrps28/68744612.html?ispopup=true","Series summary")</f>
        <v>Series summary</v>
      </c>
      <c r="G175" t="str">
        <f>HYPERLINK("http://mouse.brain-map.org/brain/Mrps28/68744612/thumbnails.html?ispopup=true","Thumbnails")</f>
        <v>Thumbnails</v>
      </c>
    </row>
    <row r="176" spans="1:7" ht="12.75">
      <c r="A176">
        <v>174</v>
      </c>
      <c r="B176" t="s">
        <v>520</v>
      </c>
      <c r="C176" t="s">
        <v>521</v>
      </c>
      <c r="D176" t="s">
        <v>522</v>
      </c>
      <c r="E176">
        <v>97031</v>
      </c>
      <c r="F176" t="str">
        <f>HYPERLINK("http://mouse.brain-map.org/brain/C430004E15Rik/69531007.html?ispopup=true","Series summary")</f>
        <v>Series summary</v>
      </c>
      <c r="G176" t="str">
        <f>HYPERLINK("http://mouse.brain-map.org/brain/C430004E15Rik/69531007/thumbnails.html?ispopup=true","Thumbnails")</f>
        <v>Thumbnails</v>
      </c>
    </row>
    <row r="177" spans="1:7" ht="12.75">
      <c r="A177">
        <v>175</v>
      </c>
      <c r="B177" t="s">
        <v>523</v>
      </c>
      <c r="C177" t="s">
        <v>524</v>
      </c>
      <c r="D177" t="s">
        <v>525</v>
      </c>
      <c r="E177">
        <v>241694</v>
      </c>
      <c r="F177" t="str">
        <f>HYPERLINK("http://mouse.brain-map.org/brain/A230067G21Rik/74277699.html?ispopup=true","Series summary")</f>
        <v>Series summary</v>
      </c>
      <c r="G177" t="str">
        <f>HYPERLINK("http://mouse.brain-map.org/brain/A230067G21Rik/74277699/thumbnails.html?ispopup=true","Thumbnails")</f>
        <v>Thumbnails</v>
      </c>
    </row>
    <row r="178" spans="1:7" ht="12.75">
      <c r="A178">
        <v>176</v>
      </c>
      <c r="B178" t="s">
        <v>526</v>
      </c>
      <c r="C178" t="s">
        <v>527</v>
      </c>
      <c r="D178" t="s">
        <v>528</v>
      </c>
      <c r="E178">
        <v>58194</v>
      </c>
      <c r="F178" t="str">
        <f>HYPERLINK("http://mouse.brain-map.org/brain/Sh3kbp1/74272906.html?ispopup=true","Series summary")</f>
        <v>Series summary</v>
      </c>
      <c r="G178" t="str">
        <f>HYPERLINK("http://mouse.brain-map.org/brain/Sh3kbp1/74272906/thumbnails.html?ispopup=true","Thumbnails")</f>
        <v>Thumbnails</v>
      </c>
    </row>
    <row r="179" spans="1:7" ht="12.75">
      <c r="A179">
        <v>177</v>
      </c>
      <c r="B179" t="s">
        <v>529</v>
      </c>
      <c r="C179" t="s">
        <v>530</v>
      </c>
      <c r="D179" t="s">
        <v>531</v>
      </c>
      <c r="E179">
        <v>18504</v>
      </c>
      <c r="F179" t="str">
        <f>HYPERLINK("http://mouse.brain-map.org/brain/Pax2/69816667.html?ispopup=true","Series summary")</f>
        <v>Series summary</v>
      </c>
      <c r="G179" t="str">
        <f>HYPERLINK("http://mouse.brain-map.org/brain/Pax2/69816667/thumbnails.html?ispopup=true","Thumbnails")</f>
        <v>Thumbnails</v>
      </c>
    </row>
    <row r="180" spans="1:7" ht="12.75">
      <c r="A180">
        <v>178</v>
      </c>
      <c r="B180" t="s">
        <v>532</v>
      </c>
      <c r="C180" t="s">
        <v>533</v>
      </c>
      <c r="D180" t="s">
        <v>534</v>
      </c>
      <c r="E180">
        <v>328643</v>
      </c>
      <c r="F180" t="str">
        <f>HYPERLINK("http://mouse.brain-map.org/brain/BC052055/68911016.html?ispopup=true","Series summary")</f>
        <v>Series summary</v>
      </c>
      <c r="G180" t="str">
        <f>HYPERLINK("http://mouse.brain-map.org/brain/BC052055/68911016/thumbnails.html?ispopup=true","Thumbnails")</f>
        <v>Thumbnails</v>
      </c>
    </row>
    <row r="181" spans="1:7" ht="12.75">
      <c r="A181">
        <v>179</v>
      </c>
      <c r="B181" t="s">
        <v>535</v>
      </c>
      <c r="C181" t="s">
        <v>536</v>
      </c>
      <c r="D181" t="s">
        <v>537</v>
      </c>
      <c r="E181">
        <v>100764</v>
      </c>
      <c r="F181" t="str">
        <f>HYPERLINK("http://mouse.brain-map.org/brain/1110008J03Rik/68445694.html?ispopup=true","Series summary")</f>
        <v>Series summary</v>
      </c>
      <c r="G181" t="str">
        <f>HYPERLINK("http://mouse.brain-map.org/brain/1110008J03Rik/68445694/thumbnails.html?ispopup=true","Thumbnails")</f>
        <v>Thumbnails</v>
      </c>
    </row>
    <row r="182" spans="1:7" ht="12.75">
      <c r="A182">
        <v>180</v>
      </c>
      <c r="B182" t="s">
        <v>538</v>
      </c>
      <c r="C182" t="s">
        <v>539</v>
      </c>
      <c r="D182" t="s">
        <v>540</v>
      </c>
      <c r="E182">
        <v>15476</v>
      </c>
      <c r="F182" t="str">
        <f>HYPERLINK("http://mouse.brain-map.org/brain/Hs3st1/2305.html?ispopup=true","Series summary")</f>
        <v>Series summary</v>
      </c>
      <c r="G182" t="str">
        <f>HYPERLINK("http://mouse.brain-map.org/brain/Hs3st1/2305/thumbnails.html?ispopup=true","Thumbnails")</f>
        <v>Thumbnails</v>
      </c>
    </row>
    <row r="183" spans="1:7" ht="12.75">
      <c r="A183">
        <v>181</v>
      </c>
      <c r="B183" t="s">
        <v>541</v>
      </c>
      <c r="C183" t="s">
        <v>542</v>
      </c>
      <c r="D183" t="s">
        <v>543</v>
      </c>
      <c r="E183">
        <v>72179</v>
      </c>
      <c r="F183" t="str">
        <f>HYPERLINK("http://mouse.brain-map.org/brain/Fbxl2/69672312.html?ispopup=true","Series summary")</f>
        <v>Series summary</v>
      </c>
      <c r="G183" t="str">
        <f>HYPERLINK("http://mouse.brain-map.org/brain/Fbxl2/69672312/thumbnails.html?ispopup=true","Thumbnails")</f>
        <v>Thumbnails</v>
      </c>
    </row>
    <row r="184" spans="1:7" ht="12.75">
      <c r="A184">
        <v>182</v>
      </c>
      <c r="B184" t="s">
        <v>544</v>
      </c>
      <c r="C184" t="s">
        <v>545</v>
      </c>
      <c r="D184" t="s">
        <v>546</v>
      </c>
      <c r="E184">
        <v>17771</v>
      </c>
      <c r="F184" t="str">
        <f>HYPERLINK("http://mouse.brain-map.org/brain/Mtl5/75861870.html?ispopup=true","Series summary")</f>
        <v>Series summary</v>
      </c>
      <c r="G184" t="str">
        <f>HYPERLINK("http://mouse.brain-map.org/brain/Mtl5/75861870/thumbnails.html?ispopup=true","Thumbnails")</f>
        <v>Thumbnails</v>
      </c>
    </row>
    <row r="185" spans="1:7" ht="12.75">
      <c r="A185">
        <v>183</v>
      </c>
      <c r="B185" t="s">
        <v>547</v>
      </c>
      <c r="C185" t="s">
        <v>548</v>
      </c>
      <c r="D185" t="s">
        <v>549</v>
      </c>
      <c r="E185">
        <v>14623</v>
      </c>
      <c r="F185" t="str">
        <f>HYPERLINK("http://mouse.brain-map.org/brain/Gjb6/2261.html?ispopup=true","Series summary")</f>
        <v>Series summary</v>
      </c>
      <c r="G185" t="str">
        <f>HYPERLINK("http://mouse.brain-map.org/brain/Gjb6/2261/thumbnails.html?ispopup=true","Thumbnails")</f>
        <v>Thumbnails</v>
      </c>
    </row>
    <row r="186" spans="1:7" ht="12.75">
      <c r="A186">
        <v>184</v>
      </c>
      <c r="B186" t="s">
        <v>550</v>
      </c>
      <c r="C186" t="s">
        <v>551</v>
      </c>
      <c r="D186" t="s">
        <v>552</v>
      </c>
      <c r="E186">
        <v>100201</v>
      </c>
      <c r="F186" t="str">
        <f>HYPERLINK("http://mouse.brain-map.org/brain/Tmem64/76098409.html?ispopup=true","Series summary")</f>
        <v>Series summary</v>
      </c>
      <c r="G186" t="str">
        <f>HYPERLINK("http://mouse.brain-map.org/brain/Tmem64/76098409/thumbnails.html?ispopup=true","Thumbnails")</f>
        <v>Thumbnails</v>
      </c>
    </row>
    <row r="187" spans="1:7" ht="12.75">
      <c r="A187">
        <v>185</v>
      </c>
      <c r="B187" t="s">
        <v>553</v>
      </c>
      <c r="C187" t="s">
        <v>554</v>
      </c>
      <c r="D187" t="s">
        <v>555</v>
      </c>
      <c r="E187">
        <v>56790</v>
      </c>
      <c r="F187" t="str">
        <f>HYPERLINK("http://mouse.brain-map.org/brain/D3Ertd300e/70238663.html?ispopup=true","Series summary")</f>
        <v>Series summary</v>
      </c>
      <c r="G187" t="str">
        <f>HYPERLINK("http://mouse.brain-map.org/brain/D3Ertd300e/70238663/thumbnails.html?ispopup=true","Thumbnails")</f>
        <v>Thumbnails</v>
      </c>
    </row>
    <row r="188" spans="1:7" ht="12.75">
      <c r="A188">
        <v>186</v>
      </c>
      <c r="B188" t="s">
        <v>556</v>
      </c>
      <c r="C188" t="s">
        <v>557</v>
      </c>
      <c r="D188" t="s">
        <v>558</v>
      </c>
      <c r="E188">
        <v>235086</v>
      </c>
      <c r="F188" t="str">
        <f>HYPERLINK("http://mouse.brain-map.org/brain/Igsf9b/75147761.html?ispopup=true","Series summary")</f>
        <v>Series summary</v>
      </c>
      <c r="G188" t="str">
        <f>HYPERLINK("http://mouse.brain-map.org/brain/Igsf9b/75147761/thumbnails.html?ispopup=true","Thumbnails")</f>
        <v>Thumbnails</v>
      </c>
    </row>
    <row r="189" spans="1:7" ht="12.75">
      <c r="A189">
        <v>187</v>
      </c>
      <c r="B189" t="s">
        <v>559</v>
      </c>
      <c r="C189" t="s">
        <v>560</v>
      </c>
      <c r="D189" t="s">
        <v>561</v>
      </c>
      <c r="E189">
        <v>56306</v>
      </c>
      <c r="F189" t="str">
        <f>HYPERLINK("http://mouse.brain-map.org/brain/Tera/1878.html?ispopup=true","Series summary")</f>
        <v>Series summary</v>
      </c>
      <c r="G189" t="str">
        <f>HYPERLINK("http://mouse.brain-map.org/brain/Tera/1878/thumbnails.html?ispopup=true","Thumbnails")</f>
        <v>Thumbnails</v>
      </c>
    </row>
    <row r="190" spans="1:7" ht="12.75">
      <c r="A190">
        <v>188</v>
      </c>
      <c r="B190" t="s">
        <v>562</v>
      </c>
      <c r="C190" t="s">
        <v>563</v>
      </c>
      <c r="D190" t="s">
        <v>564</v>
      </c>
      <c r="E190">
        <v>74215</v>
      </c>
      <c r="F190" t="str">
        <f>HYPERLINK("http://mouse.brain-map.org/brain/1700007N14Rik/74581313.html?ispopup=true","Series summary")</f>
        <v>Series summary</v>
      </c>
      <c r="G190" t="str">
        <f>HYPERLINK("http://mouse.brain-map.org/brain/1700007N14Rik/74581313/thumbnails.html?ispopup=true","Thumbnails")</f>
        <v>Thumbnails</v>
      </c>
    </row>
    <row r="191" spans="1:7" ht="12.75">
      <c r="A191">
        <v>189</v>
      </c>
      <c r="B191" t="s">
        <v>565</v>
      </c>
      <c r="C191" t="s">
        <v>566</v>
      </c>
      <c r="D191" t="s">
        <v>567</v>
      </c>
      <c r="E191">
        <v>50758</v>
      </c>
      <c r="F191" t="str">
        <f>HYPERLINK("http://mouse.brain-map.org/brain/Fbxl17/71212440.html?ispopup=true","Series summary")</f>
        <v>Series summary</v>
      </c>
      <c r="G191" t="str">
        <f>HYPERLINK("http://mouse.brain-map.org/brain/Fbxl17/71212440/thumbnails.html?ispopup=true","Thumbnails")</f>
        <v>Thumbnails</v>
      </c>
    </row>
    <row r="192" spans="1:7" ht="12.75">
      <c r="A192">
        <v>190</v>
      </c>
      <c r="B192" t="s">
        <v>568</v>
      </c>
      <c r="C192" t="s">
        <v>569</v>
      </c>
      <c r="D192" t="s">
        <v>570</v>
      </c>
      <c r="E192">
        <v>69894</v>
      </c>
      <c r="F192" t="str">
        <f>HYPERLINK("http://mouse.brain-map.org/brain/2010107G23Rik/81600086.html?ispopup=true","Series summary")</f>
        <v>Series summary</v>
      </c>
      <c r="G192" t="str">
        <f>HYPERLINK("http://mouse.brain-map.org/brain/2010107G23Rik/81600086/thumbnails.html?ispopup=true","Thumbnails")</f>
        <v>Thumbnails</v>
      </c>
    </row>
    <row r="193" spans="1:7" ht="12.75">
      <c r="A193">
        <v>191</v>
      </c>
      <c r="B193" t="s">
        <v>571</v>
      </c>
      <c r="C193" t="s">
        <v>572</v>
      </c>
      <c r="D193" t="s">
        <v>573</v>
      </c>
      <c r="E193">
        <v>71242</v>
      </c>
      <c r="F193" t="str">
        <f>HYPERLINK("http://mouse.brain-map.org/brain/5133400G04Rik/75931478.html?ispopup=true","Series summary")</f>
        <v>Series summary</v>
      </c>
      <c r="G193" t="str">
        <f>HYPERLINK("http://mouse.brain-map.org/brain/5133400G04Rik/75931478/thumbnails.html?ispopup=true","Thumbnails")</f>
        <v>Thumbnails</v>
      </c>
    </row>
    <row r="194" spans="1:7" ht="12.75">
      <c r="A194">
        <v>192</v>
      </c>
      <c r="B194" t="s">
        <v>574</v>
      </c>
      <c r="C194" t="s">
        <v>575</v>
      </c>
      <c r="D194" t="s">
        <v>576</v>
      </c>
      <c r="E194">
        <v>22035</v>
      </c>
      <c r="F194" t="str">
        <f>HYPERLINK("http://mouse.brain-map.org/brain/Tnfsf10/69981163.html?ispopup=true","Series summary")</f>
        <v>Series summary</v>
      </c>
      <c r="G194" t="str">
        <f>HYPERLINK("http://mouse.brain-map.org/brain/Tnfsf10/69981163/thumbnails.html?ispopup=true","Thumbnails")</f>
        <v>Thumbnails</v>
      </c>
    </row>
    <row r="195" spans="1:7" ht="12.75">
      <c r="A195">
        <v>193</v>
      </c>
      <c r="B195" t="s">
        <v>577</v>
      </c>
      <c r="C195" t="s">
        <v>578</v>
      </c>
      <c r="D195" t="s">
        <v>579</v>
      </c>
      <c r="E195">
        <v>68114</v>
      </c>
      <c r="F195" t="str">
        <f>HYPERLINK("http://mouse.brain-map.org/brain/Mum1/69169923.html?ispopup=true","Series summary")</f>
        <v>Series summary</v>
      </c>
      <c r="G195" t="str">
        <f>HYPERLINK("http://mouse.brain-map.org/brain/Mum1/69169923/thumbnails.html?ispopup=true","Thumbnails")</f>
        <v>Thumbnails</v>
      </c>
    </row>
    <row r="196" spans="1:7" ht="12.75">
      <c r="A196">
        <v>194</v>
      </c>
      <c r="B196" t="s">
        <v>580</v>
      </c>
      <c r="C196" t="s">
        <v>581</v>
      </c>
      <c r="D196" t="s">
        <v>582</v>
      </c>
      <c r="E196">
        <v>12393</v>
      </c>
      <c r="F196" t="str">
        <f>HYPERLINK("http://mouse.brain-map.org/brain/Runx2/1278.html?ispopup=true","Series summary")</f>
        <v>Series summary</v>
      </c>
      <c r="G196" t="str">
        <f>HYPERLINK("http://mouse.brain-map.org/brain/Runx2/1278/thumbnails.html?ispopup=true","Thumbnails")</f>
        <v>Thumbnails</v>
      </c>
    </row>
    <row r="197" spans="1:7" ht="12.75">
      <c r="A197">
        <v>195</v>
      </c>
      <c r="B197" t="s">
        <v>583</v>
      </c>
      <c r="C197" t="s">
        <v>584</v>
      </c>
      <c r="D197" t="s">
        <v>585</v>
      </c>
      <c r="E197" t="s">
        <v>58</v>
      </c>
      <c r="F197" t="str">
        <f>HYPERLINK("http://mouse.brain-map.org/brain/1700027I07Rik*/73716638.html?ispopup=true","Series summary")</f>
        <v>Series summary</v>
      </c>
      <c r="G197" t="str">
        <f>HYPERLINK("http://mouse.brain-map.org/brain/1700027I07Rik*/73716638/thumbnails.html?ispopup=true","Thumbnails")</f>
        <v>Thumbnails</v>
      </c>
    </row>
    <row r="198" spans="1:7" ht="12.75">
      <c r="A198">
        <v>196</v>
      </c>
      <c r="B198" t="s">
        <v>586</v>
      </c>
      <c r="C198" t="s">
        <v>587</v>
      </c>
      <c r="D198" t="s">
        <v>588</v>
      </c>
      <c r="E198">
        <v>18807</v>
      </c>
      <c r="F198" t="str">
        <f>HYPERLINK("http://mouse.brain-map.org/brain/Pld3/809.html?ispopup=true","Series summary")</f>
        <v>Series summary</v>
      </c>
      <c r="G198" t="str">
        <f>HYPERLINK("http://mouse.brain-map.org/brain/Pld3/809/thumbnails.html?ispopup=true","Thumbnails")</f>
        <v>Thumbnails</v>
      </c>
    </row>
    <row r="199" spans="1:7" ht="12.75">
      <c r="A199">
        <v>197</v>
      </c>
      <c r="B199" t="s">
        <v>589</v>
      </c>
      <c r="C199" t="s">
        <v>590</v>
      </c>
      <c r="D199" t="s">
        <v>591</v>
      </c>
      <c r="E199">
        <v>20887</v>
      </c>
      <c r="F199" t="str">
        <f>HYPERLINK("http://mouse.brain-map.org/brain/Sult1a1/75774114.html?ispopup=true","Series summary")</f>
        <v>Series summary</v>
      </c>
      <c r="G199" t="str">
        <f>HYPERLINK("http://mouse.brain-map.org/brain/Sult1a1/75774114/thumbnails.html?ispopup=true","Thumbnails")</f>
        <v>Thumbnails</v>
      </c>
    </row>
    <row r="200" spans="1:7" ht="12.75">
      <c r="A200">
        <v>198</v>
      </c>
      <c r="B200" t="s">
        <v>592</v>
      </c>
      <c r="C200" t="s">
        <v>593</v>
      </c>
      <c r="D200" t="s">
        <v>594</v>
      </c>
      <c r="E200">
        <v>12815</v>
      </c>
      <c r="F200" t="str">
        <f>HYPERLINK("http://mouse.brain-map.org/brain/Col11a2/74581187.html?ispopup=true","Series summary")</f>
        <v>Series summary</v>
      </c>
      <c r="G200" t="str">
        <f>HYPERLINK("http://mouse.brain-map.org/brain/Col11a2/74581187/thumbnails.html?ispopup=true","Thumbnails")</f>
        <v>Thumbnails</v>
      </c>
    </row>
    <row r="201" spans="1:7" ht="12.75">
      <c r="A201">
        <v>199</v>
      </c>
      <c r="B201" t="s">
        <v>595</v>
      </c>
      <c r="C201" t="s">
        <v>596</v>
      </c>
      <c r="D201" t="s">
        <v>597</v>
      </c>
      <c r="E201">
        <v>14620</v>
      </c>
      <c r="F201" t="str">
        <f>HYPERLINK("http://mouse.brain-map.org/brain/Gjb3/75861847.html?ispopup=true","Series summary")</f>
        <v>Series summary</v>
      </c>
      <c r="G201" t="str">
        <f>HYPERLINK("http://mouse.brain-map.org/brain/Gjb3/75861847/thumbnails.html?ispopup=true","Thumbnails")</f>
        <v>Thumbnails</v>
      </c>
    </row>
    <row r="202" spans="1:7" ht="12.75">
      <c r="A202">
        <v>200</v>
      </c>
      <c r="B202" t="s">
        <v>598</v>
      </c>
      <c r="C202" t="s">
        <v>599</v>
      </c>
      <c r="D202" t="s">
        <v>600</v>
      </c>
      <c r="E202">
        <v>19091</v>
      </c>
      <c r="F202" t="str">
        <f>HYPERLINK("http://mouse.brain-map.org/brain/Prkg1/73521817.html?ispopup=true","Series summary")</f>
        <v>Series summary</v>
      </c>
      <c r="G202" t="str">
        <f>HYPERLINK("http://mouse.brain-map.org/brain/Prkg1/73521817/thumbnails.html?ispopup=true","Thumbnails")</f>
        <v>Thumbnails</v>
      </c>
    </row>
    <row r="203" spans="1:7" ht="12.75">
      <c r="A203">
        <v>201</v>
      </c>
      <c r="B203" t="s">
        <v>601</v>
      </c>
      <c r="C203" t="s">
        <v>602</v>
      </c>
      <c r="D203" t="s">
        <v>603</v>
      </c>
      <c r="E203">
        <v>66629</v>
      </c>
      <c r="F203" t="str">
        <f>HYPERLINK("http://mouse.brain-map.org/brain/Golph3/69013483.html?ispopup=true","Series summary")</f>
        <v>Series summary</v>
      </c>
      <c r="G203" t="str">
        <f>HYPERLINK("http://mouse.brain-map.org/brain/Golph3/69013483/thumbnails.html?ispopup=true","Thumbnails")</f>
        <v>Thumbnails</v>
      </c>
    </row>
    <row r="204" spans="1:7" ht="12.75">
      <c r="A204">
        <v>202</v>
      </c>
      <c r="B204" t="s">
        <v>604</v>
      </c>
      <c r="C204" t="s">
        <v>605</v>
      </c>
      <c r="D204" t="s">
        <v>606</v>
      </c>
      <c r="E204">
        <v>381580</v>
      </c>
      <c r="F204" t="str">
        <f>HYPERLINK("http://mouse.brain-map.org/brain/Ccdc27/74562552.html?ispopup=true","Series summary")</f>
        <v>Series summary</v>
      </c>
      <c r="G204" t="str">
        <f>HYPERLINK("http://mouse.brain-map.org/brain/Ccdc27/74562552/thumbnails.html?ispopup=true","Thumbnails")</f>
        <v>Thumbnails</v>
      </c>
    </row>
    <row r="205" spans="1:7" ht="12.75">
      <c r="A205">
        <v>203</v>
      </c>
      <c r="B205" t="s">
        <v>607</v>
      </c>
      <c r="C205" t="s">
        <v>608</v>
      </c>
      <c r="D205" t="s">
        <v>609</v>
      </c>
      <c r="E205">
        <v>219189</v>
      </c>
      <c r="F205" t="str">
        <f>HYPERLINK("http://mouse.brain-map.org/brain/1300010F03Rik/77799023.html?ispopup=true","Series summary")</f>
        <v>Series summary</v>
      </c>
      <c r="G205" t="str">
        <f>HYPERLINK("http://mouse.brain-map.org/brain/1300010F03Rik/77799023/thumbnails.html?ispopup=true","Thumbnails")</f>
        <v>Thumbnails</v>
      </c>
    </row>
    <row r="206" spans="1:7" ht="12.75">
      <c r="A206">
        <v>204</v>
      </c>
      <c r="B206" t="s">
        <v>610</v>
      </c>
      <c r="C206" t="s">
        <v>611</v>
      </c>
      <c r="D206" t="s">
        <v>612</v>
      </c>
      <c r="E206">
        <v>80286</v>
      </c>
      <c r="F206" t="str">
        <f>HYPERLINK("http://mouse.brain-map.org/brain/Tusc3/69134474.html?ispopup=true","Series summary")</f>
        <v>Series summary</v>
      </c>
      <c r="G206" t="str">
        <f>HYPERLINK("http://mouse.brain-map.org/brain/Tusc3/69134474/thumbnails.html?ispopup=true","Thumbnails")</f>
        <v>Thumbnails</v>
      </c>
    </row>
    <row r="207" spans="1:7" ht="12.75">
      <c r="A207">
        <v>205</v>
      </c>
      <c r="B207" t="s">
        <v>613</v>
      </c>
      <c r="C207" t="s">
        <v>614</v>
      </c>
      <c r="D207" t="s">
        <v>615</v>
      </c>
      <c r="E207">
        <v>69387</v>
      </c>
      <c r="F207" t="str">
        <f>HYPERLINK("http://mouse.brain-map.org/brain/Dnajb13/69114115.html?ispopup=true","Series summary")</f>
        <v>Series summary</v>
      </c>
      <c r="G207" t="str">
        <f>HYPERLINK("http://mouse.brain-map.org/brain/Dnajb13/69114115/thumbnails.html?ispopup=true","Thumbnails")</f>
        <v>Thumbnails</v>
      </c>
    </row>
    <row r="208" spans="1:7" ht="12.75">
      <c r="A208">
        <v>206</v>
      </c>
      <c r="B208" t="s">
        <v>616</v>
      </c>
      <c r="C208" t="s">
        <v>617</v>
      </c>
      <c r="D208" t="s">
        <v>618</v>
      </c>
      <c r="E208">
        <v>23988</v>
      </c>
      <c r="F208" t="str">
        <f>HYPERLINK("http://mouse.brain-map.org/brain/Pin1/69783196.html?ispopup=true","Series summary")</f>
        <v>Series summary</v>
      </c>
      <c r="G208" t="str">
        <f>HYPERLINK("http://mouse.brain-map.org/brain/Pin1/69783196/thumbnails.html?ispopup=true","Thumbnails")</f>
        <v>Thumbnails</v>
      </c>
    </row>
    <row r="209" spans="1:7" ht="12.75">
      <c r="A209">
        <v>207</v>
      </c>
      <c r="B209" t="s">
        <v>619</v>
      </c>
      <c r="C209" t="s">
        <v>620</v>
      </c>
      <c r="D209" t="s">
        <v>621</v>
      </c>
      <c r="E209">
        <v>666339</v>
      </c>
      <c r="F209" t="str">
        <f>HYPERLINK("http://mouse.brain-map.org/brain/LOC666339/75862443.html?ispopup=true","Series summary")</f>
        <v>Series summary</v>
      </c>
      <c r="G209" t="str">
        <f>HYPERLINK("http://mouse.brain-map.org/brain/LOC666339/75862443/thumbnails.html?ispopup=true","Thumbnails")</f>
        <v>Thumbnails</v>
      </c>
    </row>
    <row r="210" spans="1:7" ht="12.75">
      <c r="A210">
        <v>208</v>
      </c>
      <c r="B210" t="s">
        <v>622</v>
      </c>
      <c r="C210" t="s">
        <v>623</v>
      </c>
      <c r="D210" t="s">
        <v>624</v>
      </c>
      <c r="E210">
        <v>19126</v>
      </c>
      <c r="F210" t="str">
        <f>HYPERLINK("http://mouse.brain-map.org/brain/Prom1/79756306.html?ispopup=true","Series summary")</f>
        <v>Series summary</v>
      </c>
      <c r="G210" t="str">
        <f>HYPERLINK("http://mouse.brain-map.org/brain/Prom1/79756306/thumbnails.html?ispopup=true","Thumbnails")</f>
        <v>Thumbnails</v>
      </c>
    </row>
    <row r="211" spans="1:7" ht="12.75">
      <c r="A211">
        <v>209</v>
      </c>
      <c r="B211" t="s">
        <v>625</v>
      </c>
      <c r="C211" t="s">
        <v>626</v>
      </c>
      <c r="D211" t="s">
        <v>627</v>
      </c>
      <c r="E211">
        <v>229473</v>
      </c>
      <c r="F211" t="str">
        <f>HYPERLINK("http://mouse.brain-map.org/brain/D930015E06Rik/77924472.html?ispopup=true","Series summary")</f>
        <v>Series summary</v>
      </c>
      <c r="G211" t="str">
        <f>HYPERLINK("http://mouse.brain-map.org/brain/D930015E06Rik/77924472/thumbnails.html?ispopup=true","Thumbnails")</f>
        <v>Thumbnails</v>
      </c>
    </row>
    <row r="212" spans="1:7" ht="12.75">
      <c r="A212">
        <v>210</v>
      </c>
      <c r="B212" t="s">
        <v>628</v>
      </c>
      <c r="C212" t="s">
        <v>629</v>
      </c>
      <c r="D212" t="s">
        <v>630</v>
      </c>
      <c r="E212">
        <v>14221</v>
      </c>
      <c r="F212" t="str">
        <f>HYPERLINK("http://mouse.brain-map.org/brain/Fjx1/1204.html?ispopup=true","Series summary")</f>
        <v>Series summary</v>
      </c>
      <c r="G212" t="str">
        <f>HYPERLINK("http://mouse.brain-map.org/brain/Fjx1/1204/thumbnails.html?ispopup=true","Thumbnails")</f>
        <v>Thumbnails</v>
      </c>
    </row>
    <row r="213" spans="1:7" ht="12.75">
      <c r="A213">
        <v>211</v>
      </c>
      <c r="B213" t="s">
        <v>631</v>
      </c>
      <c r="C213" t="s">
        <v>632</v>
      </c>
      <c r="D213" t="s">
        <v>633</v>
      </c>
      <c r="E213">
        <v>241769</v>
      </c>
      <c r="F213" t="str">
        <f>HYPERLINK("http://mouse.brain-map.org/brain/Kcnk15/70724864.html?ispopup=true","Series summary")</f>
        <v>Series summary</v>
      </c>
      <c r="G213" t="str">
        <f>HYPERLINK("http://mouse.brain-map.org/brain/Kcnk15/70724864/thumbnails.html?ispopup=true","Thumbnails")</f>
        <v>Thumbnails</v>
      </c>
    </row>
    <row r="214" spans="1:7" ht="12.75">
      <c r="A214">
        <v>212</v>
      </c>
      <c r="B214" t="s">
        <v>634</v>
      </c>
      <c r="C214" t="s">
        <v>635</v>
      </c>
      <c r="D214" t="s">
        <v>636</v>
      </c>
      <c r="E214">
        <v>71326</v>
      </c>
      <c r="F214" t="str">
        <f>HYPERLINK("http://mouse.brain-map.org/brain/Treml1/71489792.html?ispopup=true","Series summary")</f>
        <v>Series summary</v>
      </c>
      <c r="G214" t="str">
        <f>HYPERLINK("http://mouse.brain-map.org/brain/Treml1/71489792/thumbnails.html?ispopup=true","Thumbnails")</f>
        <v>Thumbnails</v>
      </c>
    </row>
    <row r="215" spans="1:7" ht="12.75">
      <c r="A215">
        <v>213</v>
      </c>
      <c r="B215" t="s">
        <v>637</v>
      </c>
      <c r="C215" t="s">
        <v>638</v>
      </c>
      <c r="D215" t="s">
        <v>639</v>
      </c>
      <c r="E215">
        <v>170459</v>
      </c>
      <c r="F215" t="str">
        <f>HYPERLINK("http://mouse.brain-map.org/brain/Stard4/69059820.html?ispopup=true","Series summary")</f>
        <v>Series summary</v>
      </c>
      <c r="G215" t="str">
        <f>HYPERLINK("http://mouse.brain-map.org/brain/Stard4/69059820/thumbnails.html?ispopup=true","Thumbnails")</f>
        <v>Thumbnails</v>
      </c>
    </row>
    <row r="216" spans="1:7" ht="12.75">
      <c r="A216">
        <v>214</v>
      </c>
      <c r="B216" t="s">
        <v>640</v>
      </c>
      <c r="C216" t="s">
        <v>641</v>
      </c>
      <c r="D216" t="s">
        <v>642</v>
      </c>
      <c r="E216">
        <v>20363</v>
      </c>
      <c r="F216" t="str">
        <f>HYPERLINK("http://mouse.brain-map.org/brain/Sepp1/79903768.html?ispopup=true","Series summary")</f>
        <v>Series summary</v>
      </c>
      <c r="G216" t="str">
        <f>HYPERLINK("http://mouse.brain-map.org/brain/Sepp1/79903768/thumbnails.html?ispopup=true","Thumbnails")</f>
        <v>Thumbnails</v>
      </c>
    </row>
    <row r="217" spans="1:7" ht="12.75">
      <c r="A217">
        <v>215</v>
      </c>
      <c r="B217" t="s">
        <v>643</v>
      </c>
      <c r="C217" t="s">
        <v>644</v>
      </c>
      <c r="D217" t="s">
        <v>645</v>
      </c>
      <c r="E217">
        <v>215008</v>
      </c>
      <c r="F217" t="str">
        <f>HYPERLINK("http://mouse.brain-map.org/brain/Vezt/74819329.html?ispopup=true","Series summary")</f>
        <v>Series summary</v>
      </c>
      <c r="G217" t="str">
        <f>HYPERLINK("http://mouse.brain-map.org/brain/Vezt/74819329/thumbnails.html?ispopup=true","Thumbnails")</f>
        <v>Thumbnails</v>
      </c>
    </row>
    <row r="218" spans="1:7" ht="12.75">
      <c r="A218">
        <v>216</v>
      </c>
      <c r="B218" t="s">
        <v>646</v>
      </c>
      <c r="C218" t="s">
        <v>647</v>
      </c>
      <c r="D218" t="s">
        <v>648</v>
      </c>
      <c r="E218" t="s">
        <v>58</v>
      </c>
      <c r="F218" t="str">
        <f>HYPERLINK("http://mouse.brain-map.org/brain/F730043M19Rik*/73731247.html?ispopup=true","Series summary")</f>
        <v>Series summary</v>
      </c>
      <c r="G218" t="str">
        <f>HYPERLINK("http://mouse.brain-map.org/brain/F730043M19Rik*/73731247/thumbnails.html?ispopup=true","Thumbnails")</f>
        <v>Thumbnails</v>
      </c>
    </row>
    <row r="219" spans="1:7" ht="12.75">
      <c r="A219">
        <v>217</v>
      </c>
      <c r="B219" t="s">
        <v>649</v>
      </c>
      <c r="C219" t="s">
        <v>650</v>
      </c>
      <c r="D219" t="s">
        <v>651</v>
      </c>
      <c r="E219">
        <v>17155</v>
      </c>
      <c r="F219" t="str">
        <f>HYPERLINK("http://mouse.brain-map.org/brain/Man1a/75502197.html?ispopup=true","Series summary")</f>
        <v>Series summary</v>
      </c>
      <c r="G219" t="str">
        <f>HYPERLINK("http://mouse.brain-map.org/brain/Man1a/75502197/thumbnails.html?ispopup=true","Thumbnails")</f>
        <v>Thumbnails</v>
      </c>
    </row>
    <row r="220" spans="1:7" ht="12.75">
      <c r="A220">
        <v>218</v>
      </c>
      <c r="B220" t="s">
        <v>652</v>
      </c>
      <c r="C220" t="s">
        <v>653</v>
      </c>
      <c r="D220" t="s">
        <v>654</v>
      </c>
      <c r="E220">
        <v>214150</v>
      </c>
      <c r="F220" t="str">
        <f>HYPERLINK("http://mouse.brain-map.org/brain/Eif2c3/70724708.html?ispopup=true","Series summary")</f>
        <v>Series summary</v>
      </c>
      <c r="G220" t="str">
        <f>HYPERLINK("http://mouse.brain-map.org/brain/Eif2c3/70724708/thumbnails.html?ispopup=true","Thumbnails")</f>
        <v>Thumbnails</v>
      </c>
    </row>
    <row r="221" spans="1:7" ht="12.75">
      <c r="A221">
        <v>219</v>
      </c>
      <c r="B221" t="s">
        <v>655</v>
      </c>
      <c r="C221" t="s">
        <v>656</v>
      </c>
      <c r="D221" t="s">
        <v>657</v>
      </c>
      <c r="E221">
        <v>11789</v>
      </c>
      <c r="F221" t="str">
        <f>HYPERLINK("http://mouse.brain-map.org/brain/Apc/74881517.html?ispopup=true","Series summary")</f>
        <v>Series summary</v>
      </c>
      <c r="G221" t="str">
        <f>HYPERLINK("http://mouse.brain-map.org/brain/Apc/74881517/thumbnails.html?ispopup=true","Thumbnails")</f>
        <v>Thumbnails</v>
      </c>
    </row>
    <row r="222" spans="1:7" ht="12.75">
      <c r="A222">
        <v>220</v>
      </c>
      <c r="B222" t="s">
        <v>658</v>
      </c>
      <c r="C222" t="s">
        <v>659</v>
      </c>
      <c r="D222" t="s">
        <v>660</v>
      </c>
      <c r="E222">
        <v>56490</v>
      </c>
      <c r="F222" t="str">
        <f>HYPERLINK("http://mouse.brain-map.org/brain/Zbtb20/79677359.html?ispopup=true","Series summary")</f>
        <v>Series summary</v>
      </c>
      <c r="G222" t="str">
        <f>HYPERLINK("http://mouse.brain-map.org/brain/Zbtb20/79677359/thumbnails.html?ispopup=true","Thumbnails")</f>
        <v>Thumbnails</v>
      </c>
    </row>
    <row r="223" spans="1:7" ht="12.75">
      <c r="A223">
        <v>221</v>
      </c>
      <c r="B223" t="s">
        <v>661</v>
      </c>
      <c r="C223" t="s">
        <v>662</v>
      </c>
      <c r="D223" t="s">
        <v>663</v>
      </c>
      <c r="E223">
        <v>16150</v>
      </c>
      <c r="F223" t="str">
        <f>HYPERLINK("http://mouse.brain-map.org/brain/Ikbkb/1750.html?ispopup=true","Series summary")</f>
        <v>Series summary</v>
      </c>
      <c r="G223" t="str">
        <f>HYPERLINK("http://mouse.brain-map.org/brain/Ikbkb/1750/thumbnails.html?ispopup=true","Thumbnails")</f>
        <v>Thumbnails</v>
      </c>
    </row>
    <row r="224" spans="1:7" ht="12.75">
      <c r="A224">
        <v>222</v>
      </c>
      <c r="B224" t="s">
        <v>664</v>
      </c>
      <c r="C224" t="s">
        <v>665</v>
      </c>
      <c r="D224" t="s">
        <v>666</v>
      </c>
      <c r="E224">
        <v>234736</v>
      </c>
      <c r="F224" t="str">
        <f>HYPERLINK("http://mouse.brain-map.org/brain/Rfwd3/67764932.html?ispopup=true","Series summary")</f>
        <v>Series summary</v>
      </c>
      <c r="G224" t="str">
        <f>HYPERLINK("http://mouse.brain-map.org/brain/Rfwd3/67764932/thumbnails.html?ispopup=true","Thumbnails")</f>
        <v>Thumbnails</v>
      </c>
    </row>
    <row r="225" spans="1:7" ht="12.75">
      <c r="A225">
        <v>223</v>
      </c>
      <c r="B225" t="s">
        <v>667</v>
      </c>
      <c r="C225" t="s">
        <v>668</v>
      </c>
      <c r="D225" t="s">
        <v>669</v>
      </c>
      <c r="E225">
        <v>21907</v>
      </c>
      <c r="F225" t="str">
        <f>HYPERLINK("http://mouse.brain-map.org/brain/Nr2e1/77464920.html?ispopup=true","Series summary")</f>
        <v>Series summary</v>
      </c>
      <c r="G225" t="str">
        <f>HYPERLINK("http://mouse.brain-map.org/brain/Nr2e1/77464920/thumbnails.html?ispopup=true","Thumbnails")</f>
        <v>Thumbnails</v>
      </c>
    </row>
    <row r="226" spans="1:7" ht="12.75">
      <c r="A226">
        <v>224</v>
      </c>
      <c r="B226" t="s">
        <v>670</v>
      </c>
      <c r="C226" t="s">
        <v>671</v>
      </c>
      <c r="D226" t="s">
        <v>672</v>
      </c>
      <c r="E226">
        <v>22218</v>
      </c>
      <c r="F226" t="str">
        <f>HYPERLINK("http://mouse.brain-map.org/brain/Sumo1/81600154.html?ispopup=true","Series summary")</f>
        <v>Series summary</v>
      </c>
      <c r="G226" t="str">
        <f>HYPERLINK("http://mouse.brain-map.org/brain/Sumo1/81600154/thumbnails.html?ispopup=true","Thumbnails")</f>
        <v>Thumbnails</v>
      </c>
    </row>
    <row r="227" spans="1:7" ht="12.75">
      <c r="A227">
        <v>225</v>
      </c>
      <c r="B227" t="s">
        <v>673</v>
      </c>
      <c r="C227" t="s">
        <v>674</v>
      </c>
      <c r="D227" t="s">
        <v>675</v>
      </c>
      <c r="E227">
        <v>66245</v>
      </c>
      <c r="F227" t="str">
        <f>HYPERLINK("http://mouse.brain-map.org/brain/1500019G21Rik/564782.html?ispopup=true","Series summary")</f>
        <v>Series summary</v>
      </c>
      <c r="G227" t="str">
        <f>HYPERLINK("http://mouse.brain-map.org/brain/1500019G21Rik/564782/thumbnails.html?ispopup=true","Thumbnails")</f>
        <v>Thumbnails</v>
      </c>
    </row>
    <row r="228" spans="1:7" ht="12.75">
      <c r="A228">
        <v>226</v>
      </c>
      <c r="B228" t="s">
        <v>676</v>
      </c>
      <c r="C228" t="s">
        <v>677</v>
      </c>
      <c r="D228" t="s">
        <v>678</v>
      </c>
      <c r="E228">
        <v>108760</v>
      </c>
      <c r="F228" t="str">
        <f>HYPERLINK("http://mouse.brain-map.org/brain/Galntl1/71717305.html?ispopup=true","Series summary")</f>
        <v>Series summary</v>
      </c>
      <c r="G228" t="str">
        <f>HYPERLINK("http://mouse.brain-map.org/brain/Galntl1/71717305/thumbnails.html?ispopup=true","Thumbnails")</f>
        <v>Thumbnails</v>
      </c>
    </row>
    <row r="229" spans="1:7" ht="12.75">
      <c r="A229">
        <v>227</v>
      </c>
      <c r="B229" t="s">
        <v>679</v>
      </c>
      <c r="C229" t="s">
        <v>680</v>
      </c>
      <c r="D229" t="s">
        <v>681</v>
      </c>
      <c r="E229">
        <v>83410</v>
      </c>
      <c r="F229" t="str">
        <f>HYPERLINK("http://mouse.brain-map.org/brain/Cstf2t/68196929.html?ispopup=true","Series summary")</f>
        <v>Series summary</v>
      </c>
      <c r="G229" t="str">
        <f>HYPERLINK("http://mouse.brain-map.org/brain/Cstf2t/68196929/thumbnails.html?ispopup=true","Thumbnails")</f>
        <v>Thumbnails</v>
      </c>
    </row>
    <row r="230" spans="1:7" ht="12.75">
      <c r="A230">
        <v>228</v>
      </c>
      <c r="B230" t="s">
        <v>682</v>
      </c>
      <c r="C230" t="s">
        <v>683</v>
      </c>
      <c r="D230" t="s">
        <v>684</v>
      </c>
      <c r="E230">
        <v>404242</v>
      </c>
      <c r="F230" t="str">
        <f>HYPERLINK("http://mouse.brain-map.org/brain/Mrgprx1/70784660.html?ispopup=true","Series summary")</f>
        <v>Series summary</v>
      </c>
      <c r="G230" t="str">
        <f>HYPERLINK("http://mouse.brain-map.org/brain/Mrgprx1/70784660/thumbnails.html?ispopup=true","Thumbnails")</f>
        <v>Thumbnails</v>
      </c>
    </row>
    <row r="231" spans="1:7" ht="12.75">
      <c r="A231">
        <v>229</v>
      </c>
      <c r="B231" t="s">
        <v>685</v>
      </c>
      <c r="C231" t="s">
        <v>686</v>
      </c>
      <c r="D231" t="s">
        <v>687</v>
      </c>
      <c r="E231">
        <v>17925</v>
      </c>
      <c r="F231" t="str">
        <f>HYPERLINK("http://mouse.brain-map.org/brain/Myo9b/71456109.html?ispopup=true","Series summary")</f>
        <v>Series summary</v>
      </c>
      <c r="G231" t="str">
        <f>HYPERLINK("http://mouse.brain-map.org/brain/Myo9b/71456109/thumbnails.html?ispopup=true","Thumbnails")</f>
        <v>Thumbnails</v>
      </c>
    </row>
    <row r="232" spans="1:7" ht="12.75">
      <c r="A232">
        <v>230</v>
      </c>
      <c r="B232" t="s">
        <v>688</v>
      </c>
      <c r="C232" t="s">
        <v>689</v>
      </c>
      <c r="D232" t="s">
        <v>690</v>
      </c>
      <c r="E232">
        <v>20536</v>
      </c>
      <c r="F232" t="str">
        <f>HYPERLINK("http://mouse.brain-map.org/brain/Slc4a3/69874000.html?ispopup=true","Series summary")</f>
        <v>Series summary</v>
      </c>
      <c r="G232" t="str">
        <f>HYPERLINK("http://mouse.brain-map.org/brain/Slc4a3/69874000/thumbnails.html?ispopup=true","Thumbnails")</f>
        <v>Thumbnails</v>
      </c>
    </row>
    <row r="233" spans="1:7" ht="12.75">
      <c r="A233">
        <v>231</v>
      </c>
      <c r="B233" t="s">
        <v>691</v>
      </c>
      <c r="C233" t="s">
        <v>692</v>
      </c>
      <c r="D233" t="s">
        <v>693</v>
      </c>
      <c r="E233">
        <v>26877</v>
      </c>
      <c r="F233" t="str">
        <f>HYPERLINK("http://mouse.brain-map.org/brain/B3galt1/69527896.html?ispopup=true","Series summary")</f>
        <v>Series summary</v>
      </c>
      <c r="G233" t="str">
        <f>HYPERLINK("http://mouse.brain-map.org/brain/B3galt1/69527896/thumbnails.html?ispopup=true","Thumbnails")</f>
        <v>Thumbnails</v>
      </c>
    </row>
    <row r="234" spans="1:7" ht="12.75">
      <c r="A234">
        <v>232</v>
      </c>
      <c r="B234" t="s">
        <v>694</v>
      </c>
      <c r="C234" t="s">
        <v>695</v>
      </c>
      <c r="D234" t="s">
        <v>696</v>
      </c>
      <c r="E234">
        <v>20692</v>
      </c>
      <c r="F234" t="str">
        <f>HYPERLINK("http://mouse.brain-map.org/brain/Sparc/73788443.html?ispopup=true","Series summary")</f>
        <v>Series summary</v>
      </c>
      <c r="G234" t="str">
        <f>HYPERLINK("http://mouse.brain-map.org/brain/Sparc/73788443/thumbnails.html?ispopup=true","Thumbnails")</f>
        <v>Thumbnails</v>
      </c>
    </row>
    <row r="235" spans="1:7" ht="12.75">
      <c r="A235">
        <v>233</v>
      </c>
      <c r="B235" t="s">
        <v>697</v>
      </c>
      <c r="C235" t="s">
        <v>698</v>
      </c>
      <c r="D235" t="s">
        <v>699</v>
      </c>
      <c r="E235">
        <v>71041</v>
      </c>
      <c r="F235" t="str">
        <f>HYPERLINK("http://mouse.brain-map.org/brain/Pcgf6/638729.html?ispopup=true","Series summary")</f>
        <v>Series summary</v>
      </c>
      <c r="G235" t="str">
        <f>HYPERLINK("http://mouse.brain-map.org/brain/Pcgf6/638729/thumbnails.html?ispopup=true","Thumbnails")</f>
        <v>Thumbnails</v>
      </c>
    </row>
    <row r="236" spans="1:7" ht="12.75">
      <c r="A236">
        <v>234</v>
      </c>
      <c r="B236" t="s">
        <v>496</v>
      </c>
      <c r="C236" t="s">
        <v>700</v>
      </c>
      <c r="D236" t="s">
        <v>498</v>
      </c>
      <c r="E236">
        <v>320405</v>
      </c>
      <c r="F236" t="str">
        <f>HYPERLINK("http://mouse.brain-map.org/brain/Cadps2/69540266.html?ispopup=true","Series summary")</f>
        <v>Series summary</v>
      </c>
      <c r="G236" t="str">
        <f>HYPERLINK("http://mouse.brain-map.org/brain/Cadps2/69540266/thumbnails.html?ispopup=true","Thumbnails")</f>
        <v>Thumbnails</v>
      </c>
    </row>
    <row r="237" spans="1:7" ht="12.75">
      <c r="A237">
        <v>235</v>
      </c>
      <c r="B237" t="s">
        <v>701</v>
      </c>
      <c r="C237" t="s">
        <v>702</v>
      </c>
      <c r="D237" t="s">
        <v>703</v>
      </c>
      <c r="E237">
        <v>13983</v>
      </c>
      <c r="F237" t="str">
        <f>HYPERLINK("http://mouse.brain-map.org/brain/Esr2/71670737.html?ispopup=true","Series summary")</f>
        <v>Series summary</v>
      </c>
      <c r="G237" t="str">
        <f>HYPERLINK("http://mouse.brain-map.org/brain/Esr2/71670737/thumbnails.html?ispopup=true","Thumbnails")</f>
        <v>Thumbnails</v>
      </c>
    </row>
    <row r="238" spans="1:7" ht="12.75">
      <c r="A238">
        <v>236</v>
      </c>
      <c r="B238" t="s">
        <v>704</v>
      </c>
      <c r="C238" t="s">
        <v>705</v>
      </c>
      <c r="D238" t="s">
        <v>706</v>
      </c>
      <c r="E238">
        <v>246787</v>
      </c>
      <c r="F238" t="str">
        <f>HYPERLINK("http://mouse.brain-map.org/brain/Slc5a2/68632936.html?ispopup=true","Series summary")</f>
        <v>Series summary</v>
      </c>
      <c r="G238" t="str">
        <f>HYPERLINK("http://mouse.brain-map.org/brain/Slc5a2/68632936/thumbnails.html?ispopup=true","Thumbnails")</f>
        <v>Thumbnails</v>
      </c>
    </row>
    <row r="239" spans="1:7" ht="12.75">
      <c r="A239">
        <v>237</v>
      </c>
      <c r="B239" t="s">
        <v>707</v>
      </c>
      <c r="C239" t="s">
        <v>708</v>
      </c>
      <c r="D239" t="s">
        <v>709</v>
      </c>
      <c r="E239" t="s">
        <v>58</v>
      </c>
      <c r="F239" t="str">
        <f>HYPERLINK("http://mouse.brain-map.org/brain/E330014M11Rik*/74076114.html?ispopup=true","Series summary")</f>
        <v>Series summary</v>
      </c>
      <c r="G239" t="str">
        <f>HYPERLINK("http://mouse.brain-map.org/brain/E330014M11Rik*/74076114/thumbnails.html?ispopup=true","Thumbnails")</f>
        <v>Thumbnails</v>
      </c>
    </row>
    <row r="240" spans="1:7" ht="12.75">
      <c r="A240">
        <v>238</v>
      </c>
      <c r="B240" t="s">
        <v>710</v>
      </c>
      <c r="C240" t="s">
        <v>711</v>
      </c>
      <c r="D240" t="s">
        <v>712</v>
      </c>
      <c r="E240">
        <v>240119</v>
      </c>
      <c r="F240" t="str">
        <f>HYPERLINK("http://mouse.brain-map.org/brain/St6gal2/69290537.html?ispopup=true","Series summary")</f>
        <v>Series summary</v>
      </c>
      <c r="G240" t="str">
        <f>HYPERLINK("http://mouse.brain-map.org/brain/St6gal2/69290537/thumbnails.html?ispopup=true","Thumbnails")</f>
        <v>Thumbnails</v>
      </c>
    </row>
    <row r="241" spans="1:7" ht="12.75">
      <c r="A241">
        <v>239</v>
      </c>
      <c r="B241" t="s">
        <v>713</v>
      </c>
      <c r="C241" t="s">
        <v>714</v>
      </c>
      <c r="D241" t="s">
        <v>715</v>
      </c>
      <c r="E241">
        <v>110082</v>
      </c>
      <c r="F241" t="str">
        <f>HYPERLINK("http://mouse.brain-map.org/brain/Dnahc5/69626939.html?ispopup=true","Series summary")</f>
        <v>Series summary</v>
      </c>
      <c r="G241" t="str">
        <f>HYPERLINK("http://mouse.brain-map.org/brain/Dnahc5/69626939/thumbnails.html?ispopup=true","Thumbnails")</f>
        <v>Thumbnails</v>
      </c>
    </row>
    <row r="242" spans="1:7" ht="12.75">
      <c r="A242">
        <v>240</v>
      </c>
      <c r="B242" t="s">
        <v>716</v>
      </c>
      <c r="C242" t="s">
        <v>717</v>
      </c>
      <c r="D242" t="s">
        <v>718</v>
      </c>
      <c r="E242">
        <v>16534</v>
      </c>
      <c r="F242" t="str">
        <f>HYPERLINK("http://mouse.brain-map.org/brain/Kcnn4/119686.html?ispopup=true","Series summary")</f>
        <v>Series summary</v>
      </c>
      <c r="G242" t="str">
        <f>HYPERLINK("http://mouse.brain-map.org/brain/Kcnn4/119686/thumbnails.html?ispopup=true","Thumbnails")</f>
        <v>Thumbnails</v>
      </c>
    </row>
    <row r="243" spans="1:7" ht="12.75">
      <c r="A243">
        <v>241</v>
      </c>
      <c r="B243" t="s">
        <v>719</v>
      </c>
      <c r="C243" t="s">
        <v>720</v>
      </c>
      <c r="D243" t="s">
        <v>721</v>
      </c>
      <c r="E243">
        <v>19054</v>
      </c>
      <c r="F243" t="str">
        <f>HYPERLINK("http://mouse.brain-map.org/brain/Ppp2r3a/75214935.html?ispopup=true","Series summary")</f>
        <v>Series summary</v>
      </c>
      <c r="G243" t="str">
        <f>HYPERLINK("http://mouse.brain-map.org/brain/Ppp2r3a/75214935/thumbnails.html?ispopup=true","Thumbnails")</f>
        <v>Thumbnails</v>
      </c>
    </row>
    <row r="244" spans="1:7" ht="12.75">
      <c r="A244">
        <v>242</v>
      </c>
      <c r="B244" t="s">
        <v>722</v>
      </c>
      <c r="C244" t="s">
        <v>723</v>
      </c>
      <c r="D244" t="s">
        <v>724</v>
      </c>
      <c r="E244">
        <v>320007</v>
      </c>
      <c r="F244" t="str">
        <f>HYPERLINK("http://mouse.brain-map.org/brain/Sidt1/71587812.html?ispopup=true","Series summary")</f>
        <v>Series summary</v>
      </c>
      <c r="G244" t="str">
        <f>HYPERLINK("http://mouse.brain-map.org/brain/Sidt1/71587812/thumbnails.html?ispopup=true","Thumbnails")</f>
        <v>Thumbnails</v>
      </c>
    </row>
    <row r="245" spans="1:7" ht="12.75">
      <c r="A245">
        <v>243</v>
      </c>
      <c r="B245" t="s">
        <v>725</v>
      </c>
      <c r="C245" t="s">
        <v>726</v>
      </c>
      <c r="D245" t="s">
        <v>727</v>
      </c>
      <c r="E245">
        <v>24132</v>
      </c>
      <c r="F245" t="str">
        <f>HYPERLINK("http://mouse.brain-map.org/brain/Zfp53/68924709.html?ispopup=true","Series summary")</f>
        <v>Series summary</v>
      </c>
      <c r="G245" t="str">
        <f>HYPERLINK("http://mouse.brain-map.org/brain/Zfp53/68924709/thumbnails.html?ispopup=true","Thumbnails")</f>
        <v>Thumbnails</v>
      </c>
    </row>
    <row r="246" spans="1:7" ht="12.75">
      <c r="A246">
        <v>244</v>
      </c>
      <c r="B246" t="s">
        <v>728</v>
      </c>
      <c r="C246" t="s">
        <v>729</v>
      </c>
      <c r="D246" t="s">
        <v>730</v>
      </c>
      <c r="E246">
        <v>67393</v>
      </c>
      <c r="F246" t="str">
        <f>HYPERLINK("http://mouse.brain-map.org/brain/Cxxc5/69080510.html?ispopup=true","Series summary")</f>
        <v>Series summary</v>
      </c>
      <c r="G246" t="str">
        <f>HYPERLINK("http://mouse.brain-map.org/brain/Cxxc5/69080510/thumbnails.html?ispopup=true","Thumbnails")</f>
        <v>Thumbnails</v>
      </c>
    </row>
    <row r="247" spans="1:7" ht="12.75">
      <c r="A247">
        <v>245</v>
      </c>
      <c r="B247" t="s">
        <v>731</v>
      </c>
      <c r="C247" t="s">
        <v>732</v>
      </c>
      <c r="D247" t="s">
        <v>733</v>
      </c>
      <c r="E247">
        <v>243300</v>
      </c>
      <c r="F247" t="str">
        <f>HYPERLINK("http://mouse.brain-map.org/brain/6430598A04Rik/69549614.html?ispopup=true","Series summary")</f>
        <v>Series summary</v>
      </c>
      <c r="G247" t="str">
        <f>HYPERLINK("http://mouse.brain-map.org/brain/6430598A04Rik/69549614/thumbnails.html?ispopup=true","Thumbnails")</f>
        <v>Thumbnails</v>
      </c>
    </row>
    <row r="248" spans="1:7" ht="12.75">
      <c r="A248">
        <v>246</v>
      </c>
      <c r="B248" t="s">
        <v>734</v>
      </c>
      <c r="C248" t="s">
        <v>735</v>
      </c>
      <c r="D248" t="s">
        <v>736</v>
      </c>
      <c r="E248">
        <v>114674</v>
      </c>
      <c r="F248" t="str">
        <f>HYPERLINK("http://mouse.brain-map.org/brain/Gtf2ird2/69353548.html?ispopup=true","Series summary")</f>
        <v>Series summary</v>
      </c>
      <c r="G248" t="str">
        <f>HYPERLINK("http://mouse.brain-map.org/brain/Gtf2ird2/69353548/thumbnails.html?ispopup=true","Thumbnails")</f>
        <v>Thumbnails</v>
      </c>
    </row>
    <row r="249" spans="1:7" ht="12.75">
      <c r="A249">
        <v>247</v>
      </c>
      <c r="B249" t="s">
        <v>737</v>
      </c>
      <c r="C249" t="s">
        <v>738</v>
      </c>
      <c r="D249" t="s">
        <v>739</v>
      </c>
      <c r="E249">
        <v>233405</v>
      </c>
      <c r="F249" t="str">
        <f>HYPERLINK("http://mouse.brain-map.org/brain/Vps33b/69173250.html?ispopup=true","Series summary")</f>
        <v>Series summary</v>
      </c>
      <c r="G249" t="str">
        <f>HYPERLINK("http://mouse.brain-map.org/brain/Vps33b/69173250/thumbnails.html?ispopup=true","Thumbnails")</f>
        <v>Thumbnails</v>
      </c>
    </row>
    <row r="250" spans="1:7" ht="12.75">
      <c r="A250">
        <v>248</v>
      </c>
      <c r="B250" t="s">
        <v>740</v>
      </c>
      <c r="C250" t="s">
        <v>741</v>
      </c>
      <c r="D250" t="s">
        <v>742</v>
      </c>
      <c r="E250">
        <v>93683</v>
      </c>
      <c r="F250" t="str">
        <f>HYPERLINK("http://mouse.brain-map.org/brain/Glce/71280946.html?ispopup=true","Series summary")</f>
        <v>Series summary</v>
      </c>
      <c r="G250" t="str">
        <f>HYPERLINK("http://mouse.brain-map.org/brain/Glce/71280946/thumbnails.html?ispopup=true","Thumbnails")</f>
        <v>Thumbnails</v>
      </c>
    </row>
    <row r="251" spans="1:7" ht="12.75">
      <c r="A251">
        <v>249</v>
      </c>
      <c r="B251" t="s">
        <v>743</v>
      </c>
      <c r="C251" t="s">
        <v>744</v>
      </c>
      <c r="D251" t="s">
        <v>745</v>
      </c>
      <c r="E251">
        <v>19283</v>
      </c>
      <c r="F251" t="str">
        <f>HYPERLINK("http://mouse.brain-map.org/brain/Ptprz1/71487157.html?ispopup=true","Series summary")</f>
        <v>Series summary</v>
      </c>
      <c r="G251" t="str">
        <f>HYPERLINK("http://mouse.brain-map.org/brain/Ptprz1/71487157/thumbnails.html?ispopup=true","Thumbnails")</f>
        <v>Thumbnails</v>
      </c>
    </row>
    <row r="252" spans="1:7" ht="12.75">
      <c r="A252">
        <v>250</v>
      </c>
      <c r="B252" t="s">
        <v>413</v>
      </c>
      <c r="C252" t="s">
        <v>746</v>
      </c>
      <c r="D252" t="s">
        <v>415</v>
      </c>
      <c r="E252">
        <v>67943</v>
      </c>
      <c r="F252" t="str">
        <f>HYPERLINK("http://mouse.brain-map.org/brain/Mesdc2/72081556.html?ispopup=true","Series summary")</f>
        <v>Series summary</v>
      </c>
      <c r="G252" t="str">
        <f>HYPERLINK("http://mouse.brain-map.org/brain/Mesdc2/72081556/thumbnails.html?ispopup=true","Thumbnails")</f>
        <v>Thumbnails</v>
      </c>
    </row>
    <row r="253" spans="1:7" ht="12.75">
      <c r="A253">
        <v>251</v>
      </c>
      <c r="B253" t="s">
        <v>747</v>
      </c>
      <c r="C253" t="s">
        <v>748</v>
      </c>
      <c r="D253" t="s">
        <v>749</v>
      </c>
      <c r="E253">
        <v>72344</v>
      </c>
      <c r="F253" t="str">
        <f>HYPERLINK("http://mouse.brain-map.org/brain/Usp36/70194648.html?ispopup=true","Series summary")</f>
        <v>Series summary</v>
      </c>
      <c r="G253" t="str">
        <f>HYPERLINK("http://mouse.brain-map.org/brain/Usp36/70194648/thumbnails.html?ispopup=true","Thumbnails")</f>
        <v>Thumbnails</v>
      </c>
    </row>
    <row r="254" spans="1:7" ht="12.75">
      <c r="A254">
        <v>252</v>
      </c>
      <c r="B254" t="s">
        <v>750</v>
      </c>
      <c r="C254" t="s">
        <v>751</v>
      </c>
      <c r="D254" t="s">
        <v>752</v>
      </c>
      <c r="E254">
        <v>13712</v>
      </c>
      <c r="F254" t="str">
        <f>HYPERLINK("http://mouse.brain-map.org/brain/Elk1/2185.html?ispopup=true","Series summary")</f>
        <v>Series summary</v>
      </c>
      <c r="G254" t="str">
        <f>HYPERLINK("http://mouse.brain-map.org/brain/Elk1/2185/thumbnails.html?ispopup=true","Thumbnails")</f>
        <v>Thumbnails</v>
      </c>
    </row>
    <row r="255" spans="1:7" ht="12.75">
      <c r="A255">
        <v>253</v>
      </c>
      <c r="B255" t="s">
        <v>753</v>
      </c>
      <c r="C255" t="s">
        <v>754</v>
      </c>
      <c r="D255" t="s">
        <v>755</v>
      </c>
      <c r="E255">
        <v>70423</v>
      </c>
      <c r="F255" t="str">
        <f>HYPERLINK("http://mouse.brain-map.org/brain/Tspan15/70612725.html?ispopup=true","Series summary")</f>
        <v>Series summary</v>
      </c>
      <c r="G255" t="str">
        <f>HYPERLINK("http://mouse.brain-map.org/brain/Tspan15/70612725/thumbnails.html?ispopup=true","Thumbnails")</f>
        <v>Thumbnails</v>
      </c>
    </row>
    <row r="256" spans="1:7" ht="12.75">
      <c r="A256">
        <v>254</v>
      </c>
      <c r="B256" t="s">
        <v>756</v>
      </c>
      <c r="C256" t="s">
        <v>757</v>
      </c>
      <c r="D256" t="s">
        <v>758</v>
      </c>
      <c r="E256">
        <v>20230</v>
      </c>
      <c r="F256" t="str">
        <f>HYPERLINK("http://mouse.brain-map.org/brain/Satb1/79488931.html?ispopup=true","Series summary")</f>
        <v>Series summary</v>
      </c>
      <c r="G256" t="str">
        <f>HYPERLINK("http://mouse.brain-map.org/brain/Satb1/79488931/thumbnails.html?ispopup=true","Thumbnails")</f>
        <v>Thumbnails</v>
      </c>
    </row>
    <row r="257" spans="1:7" ht="12.75">
      <c r="A257">
        <v>255</v>
      </c>
      <c r="B257" t="s">
        <v>759</v>
      </c>
      <c r="C257" t="s">
        <v>760</v>
      </c>
      <c r="D257" t="s">
        <v>761</v>
      </c>
      <c r="E257">
        <v>50782</v>
      </c>
      <c r="F257" t="str">
        <f>HYPERLINK("http://mouse.brain-map.org/brain/Rgs11/74562546.html?ispopup=true","Series summary")</f>
        <v>Series summary</v>
      </c>
      <c r="G257" t="str">
        <f>HYPERLINK("http://mouse.brain-map.org/brain/Rgs11/74562546/thumbnails.html?ispopup=true","Thumbnails")</f>
        <v>Thumbnails</v>
      </c>
    </row>
    <row r="258" spans="1:7" ht="12.75">
      <c r="A258">
        <v>256</v>
      </c>
      <c r="B258" t="s">
        <v>762</v>
      </c>
      <c r="C258" t="s">
        <v>763</v>
      </c>
      <c r="D258" t="s">
        <v>764</v>
      </c>
      <c r="E258">
        <v>75050</v>
      </c>
      <c r="F258" t="str">
        <f>HYPERLINK("http://mouse.brain-map.org/brain/Kif27/70295416.html?ispopup=true","Series summary")</f>
        <v>Series summary</v>
      </c>
      <c r="G258" t="str">
        <f>HYPERLINK("http://mouse.brain-map.org/brain/Kif27/70295416/thumbnails.html?ispopup=true","Thumbnails")</f>
        <v>Thumbnails</v>
      </c>
    </row>
    <row r="259" spans="1:7" ht="12.75">
      <c r="A259">
        <v>257</v>
      </c>
      <c r="B259" t="s">
        <v>765</v>
      </c>
      <c r="C259" t="s">
        <v>766</v>
      </c>
      <c r="D259" t="s">
        <v>767</v>
      </c>
      <c r="E259">
        <v>208449</v>
      </c>
      <c r="F259" t="str">
        <f>HYPERLINK("http://mouse.brain-map.org/brain/Tmem23/77910765.html?ispopup=true","Series summary")</f>
        <v>Series summary</v>
      </c>
      <c r="G259" t="str">
        <f>HYPERLINK("http://mouse.brain-map.org/brain/Tmem23/77910765/thumbnails.html?ispopup=true","Thumbnails")</f>
        <v>Thumbnails</v>
      </c>
    </row>
    <row r="260" spans="1:7" ht="12.75">
      <c r="A260">
        <v>258</v>
      </c>
      <c r="B260" t="s">
        <v>768</v>
      </c>
      <c r="C260" t="s">
        <v>769</v>
      </c>
      <c r="D260" t="s">
        <v>770</v>
      </c>
      <c r="E260">
        <v>241053</v>
      </c>
      <c r="F260" t="str">
        <f>HYPERLINK("http://mouse.brain-map.org/brain/LOC241053/74736087.html?ispopup=true","Series summary")</f>
        <v>Series summary</v>
      </c>
      <c r="G260" t="str">
        <f>HYPERLINK("http://mouse.brain-map.org/brain/LOC241053/74736087/thumbnails.html?ispopup=true","Thumbnails")</f>
        <v>Thumbnails</v>
      </c>
    </row>
    <row r="261" spans="1:7" ht="12.75">
      <c r="A261">
        <v>259</v>
      </c>
      <c r="B261" t="s">
        <v>771</v>
      </c>
      <c r="C261" t="s">
        <v>772</v>
      </c>
      <c r="D261" t="s">
        <v>773</v>
      </c>
      <c r="E261">
        <v>12805</v>
      </c>
      <c r="F261" t="str">
        <f>HYPERLINK("http://mouse.brain-map.org/brain/Cntn1/414.html?ispopup=true","Series summary")</f>
        <v>Series summary</v>
      </c>
      <c r="G261" t="str">
        <f>HYPERLINK("http://mouse.brain-map.org/brain/Cntn1/414/thumbnails.html?ispopup=true","Thumbnails")</f>
        <v>Thumbnails</v>
      </c>
    </row>
    <row r="262" spans="1:7" ht="12.75">
      <c r="A262">
        <v>260</v>
      </c>
      <c r="B262" t="s">
        <v>774</v>
      </c>
      <c r="C262" t="s">
        <v>775</v>
      </c>
      <c r="D262" t="s">
        <v>776</v>
      </c>
      <c r="E262">
        <v>12715</v>
      </c>
      <c r="F262" t="str">
        <f>HYPERLINK("http://mouse.brain-map.org/brain/Ckm/76115727.html?ispopup=true","Series summary")</f>
        <v>Series summary</v>
      </c>
      <c r="G262" t="str">
        <f>HYPERLINK("http://mouse.brain-map.org/brain/Ckm/76115727/thumbnails.html?ispopup=true","Thumbnails")</f>
        <v>Thumbnails</v>
      </c>
    </row>
    <row r="263" spans="1:7" ht="12.75">
      <c r="A263">
        <v>261</v>
      </c>
      <c r="B263" t="s">
        <v>777</v>
      </c>
      <c r="C263" t="s">
        <v>778</v>
      </c>
      <c r="D263" t="s">
        <v>779</v>
      </c>
      <c r="E263">
        <v>243996</v>
      </c>
      <c r="F263" t="str">
        <f>HYPERLINK("http://mouse.brain-map.org/brain/4933405O20Rik/69116859.html?ispopup=true","Series summary")</f>
        <v>Series summary</v>
      </c>
      <c r="G263" t="str">
        <f>HYPERLINK("http://mouse.brain-map.org/brain/4933405O20Rik/69116859/thumbnails.html?ispopup=true","Thumbnails")</f>
        <v>Thumbnails</v>
      </c>
    </row>
    <row r="264" spans="1:7" ht="12.75">
      <c r="A264">
        <v>262</v>
      </c>
      <c r="B264" t="s">
        <v>780</v>
      </c>
      <c r="C264" t="s">
        <v>781</v>
      </c>
      <c r="D264" t="s">
        <v>782</v>
      </c>
      <c r="E264">
        <v>71468</v>
      </c>
      <c r="F264" t="str">
        <f>HYPERLINK("http://mouse.brain-map.org/brain/Obox1/81790668.html?ispopup=true","Series summary")</f>
        <v>Series summary</v>
      </c>
      <c r="G264" t="str">
        <f>HYPERLINK("http://mouse.brain-map.org/brain/Obox1/81790668/thumbnails.html?ispopup=true","Thumbnails")</f>
        <v>Thumbnails</v>
      </c>
    </row>
    <row r="265" spans="1:7" ht="12.75">
      <c r="A265">
        <v>263</v>
      </c>
      <c r="B265" t="s">
        <v>783</v>
      </c>
      <c r="C265" t="s">
        <v>784</v>
      </c>
      <c r="D265" t="s">
        <v>785</v>
      </c>
      <c r="E265">
        <v>226250</v>
      </c>
      <c r="F265" t="str">
        <f>HYPERLINK("http://mouse.brain-map.org/brain/AU041783/67764927.html?ispopup=true","Series summary")</f>
        <v>Series summary</v>
      </c>
      <c r="G265" t="str">
        <f>HYPERLINK("http://mouse.brain-map.org/brain/AU041783/67764927/thumbnails.html?ispopup=true","Thumbnails")</f>
        <v>Thumbnails</v>
      </c>
    </row>
    <row r="266" spans="1:7" ht="12.75">
      <c r="A266">
        <v>264</v>
      </c>
      <c r="B266" t="s">
        <v>786</v>
      </c>
      <c r="C266" t="s">
        <v>787</v>
      </c>
      <c r="D266" t="s">
        <v>788</v>
      </c>
      <c r="E266">
        <v>436410</v>
      </c>
      <c r="F266" t="str">
        <f>HYPERLINK("http://mouse.brain-map.org/brain/LOC436410/71283376.html?ispopup=true","Series summary")</f>
        <v>Series summary</v>
      </c>
      <c r="G266" t="str">
        <f>HYPERLINK("http://mouse.brain-map.org/brain/LOC436410/71283376/thumbnails.html?ispopup=true","Thumbnails")</f>
        <v>Thumbnails</v>
      </c>
    </row>
    <row r="267" spans="1:7" ht="12.75">
      <c r="A267">
        <v>265</v>
      </c>
      <c r="B267" t="s">
        <v>789</v>
      </c>
      <c r="C267" t="s">
        <v>790</v>
      </c>
      <c r="D267" t="s">
        <v>791</v>
      </c>
      <c r="E267">
        <v>22317</v>
      </c>
      <c r="F267" t="str">
        <f>HYPERLINK("http://mouse.brain-map.org/brain/Vamp1/75651233.html?ispopup=true","Series summary")</f>
        <v>Series summary</v>
      </c>
      <c r="G267" t="str">
        <f>HYPERLINK("http://mouse.brain-map.org/brain/Vamp1/75651233/thumbnails.html?ispopup=true","Thumbnails")</f>
        <v>Thumbnails</v>
      </c>
    </row>
    <row r="268" spans="1:7" ht="12.75">
      <c r="A268">
        <v>266</v>
      </c>
      <c r="B268" t="s">
        <v>792</v>
      </c>
      <c r="C268" t="s">
        <v>793</v>
      </c>
      <c r="D268" t="s">
        <v>794</v>
      </c>
      <c r="E268">
        <v>74053</v>
      </c>
      <c r="F268" t="str">
        <f>HYPERLINK("http://mouse.brain-map.org/brain/Grip1/70565623.html?ispopup=true","Series summary")</f>
        <v>Series summary</v>
      </c>
      <c r="G268" t="str">
        <f>HYPERLINK("http://mouse.brain-map.org/brain/Grip1/70565623/thumbnails.html?ispopup=true","Thumbnails")</f>
        <v>Thumbnails</v>
      </c>
    </row>
    <row r="269" spans="1:7" ht="12.75">
      <c r="A269">
        <v>267</v>
      </c>
      <c r="B269" t="s">
        <v>658</v>
      </c>
      <c r="C269" t="s">
        <v>795</v>
      </c>
      <c r="D269" t="s">
        <v>660</v>
      </c>
      <c r="E269">
        <v>56490</v>
      </c>
      <c r="F269" t="str">
        <f>HYPERLINK("http://mouse.brain-map.org/brain/Zbtb20/79568020.html?ispopup=true","Series summary")</f>
        <v>Series summary</v>
      </c>
      <c r="G269" t="str">
        <f>HYPERLINK("http://mouse.brain-map.org/brain/Zbtb20/79568020/thumbnails.html?ispopup=true","Thumbnails")</f>
        <v>Thumbnails</v>
      </c>
    </row>
    <row r="270" spans="1:7" ht="12.75">
      <c r="A270">
        <v>268</v>
      </c>
      <c r="B270" t="s">
        <v>796</v>
      </c>
      <c r="C270" t="s">
        <v>797</v>
      </c>
      <c r="D270" t="s">
        <v>798</v>
      </c>
      <c r="E270">
        <v>114874</v>
      </c>
      <c r="F270" t="str">
        <f>HYPERLINK("http://mouse.brain-map.org/brain/Ddhd1/69838392.html?ispopup=true","Series summary")</f>
        <v>Series summary</v>
      </c>
      <c r="G270" t="str">
        <f>HYPERLINK("http://mouse.brain-map.org/brain/Ddhd1/69838392/thumbnails.html?ispopup=true","Thumbnails")</f>
        <v>Thumbnails</v>
      </c>
    </row>
    <row r="271" spans="1:7" ht="12.75">
      <c r="A271">
        <v>269</v>
      </c>
      <c r="B271" t="s">
        <v>799</v>
      </c>
      <c r="C271" t="s">
        <v>800</v>
      </c>
      <c r="D271" t="s">
        <v>801</v>
      </c>
      <c r="E271">
        <v>75740</v>
      </c>
      <c r="F271" t="str">
        <f>HYPERLINK("http://mouse.brain-map.org/brain/6130401L20Rik/71892310.html?ispopup=true","Series summary")</f>
        <v>Series summary</v>
      </c>
      <c r="G271" t="str">
        <f>HYPERLINK("http://mouse.brain-map.org/brain/6130401L20Rik/71892310/thumbnails.html?ispopup=true","Thumbnails")</f>
        <v>Thumbnails</v>
      </c>
    </row>
    <row r="272" spans="1:7" ht="12.75">
      <c r="A272">
        <v>270</v>
      </c>
      <c r="B272" t="s">
        <v>802</v>
      </c>
      <c r="C272" t="s">
        <v>803</v>
      </c>
      <c r="D272" t="s">
        <v>804</v>
      </c>
      <c r="E272">
        <v>70448</v>
      </c>
      <c r="F272" t="str">
        <f>HYPERLINK("http://mouse.brain-map.org/brain/2610204G22Rik/75934922.html?ispopup=true","Series summary")</f>
        <v>Series summary</v>
      </c>
      <c r="G272" t="str">
        <f>HYPERLINK("http://mouse.brain-map.org/brain/2610204G22Rik/75934922/thumbnails.html?ispopup=true","Thumbnails")</f>
        <v>Thumbnails</v>
      </c>
    </row>
    <row r="273" spans="1:7" ht="12.75">
      <c r="A273">
        <v>271</v>
      </c>
      <c r="B273" t="s">
        <v>805</v>
      </c>
      <c r="C273" t="s">
        <v>806</v>
      </c>
      <c r="D273" t="s">
        <v>807</v>
      </c>
      <c r="E273">
        <v>268906</v>
      </c>
      <c r="F273" t="str">
        <f>HYPERLINK("http://mouse.brain-map.org/brain/LOC268906/71281919.html?ispopup=true","Series summary")</f>
        <v>Series summary</v>
      </c>
      <c r="G273" t="str">
        <f>HYPERLINK("http://mouse.brain-map.org/brain/LOC268906/71281919/thumbnails.html?ispopup=true","Thumbnails")</f>
        <v>Thumbnails</v>
      </c>
    </row>
    <row r="274" spans="1:7" ht="12.75">
      <c r="A274">
        <v>272</v>
      </c>
      <c r="B274" t="s">
        <v>808</v>
      </c>
      <c r="C274" t="s">
        <v>809</v>
      </c>
      <c r="D274" t="s">
        <v>810</v>
      </c>
      <c r="E274">
        <v>15127</v>
      </c>
      <c r="F274" t="str">
        <f>HYPERLINK("http://mouse.brain-map.org/brain/Hbb/77340464.html?ispopup=true","Series summary")</f>
        <v>Series summary</v>
      </c>
      <c r="G274" t="str">
        <f>HYPERLINK("http://mouse.brain-map.org/brain/Hbb/77340464/thumbnails.html?ispopup=true","Thumbnails")</f>
        <v>Thumbnails</v>
      </c>
    </row>
    <row r="275" spans="1:7" ht="12.75">
      <c r="A275">
        <v>273</v>
      </c>
      <c r="B275" t="s">
        <v>811</v>
      </c>
      <c r="C275" t="s">
        <v>812</v>
      </c>
      <c r="D275" t="s">
        <v>813</v>
      </c>
      <c r="E275">
        <v>218442</v>
      </c>
      <c r="F275" t="str">
        <f>HYPERLINK("http://mouse.brain-map.org/brain/Serinc5/77278973.html?ispopup=true","Series summary")</f>
        <v>Series summary</v>
      </c>
      <c r="G275" t="str">
        <f>HYPERLINK("http://mouse.brain-map.org/brain/Serinc5/77278973/thumbnails.html?ispopup=true","Thumbnails")</f>
        <v>Thumbnails</v>
      </c>
    </row>
    <row r="276" spans="1:7" ht="12.75">
      <c r="A276">
        <v>274</v>
      </c>
      <c r="B276" t="s">
        <v>814</v>
      </c>
      <c r="C276" t="s">
        <v>815</v>
      </c>
      <c r="D276" t="s">
        <v>816</v>
      </c>
      <c r="E276">
        <v>18715</v>
      </c>
      <c r="F276" t="str">
        <f>HYPERLINK("http://mouse.brain-map.org/brain/Pim2/32583.html?ispopup=true","Series summary")</f>
        <v>Series summary</v>
      </c>
      <c r="G276" t="str">
        <f>HYPERLINK("http://mouse.brain-map.org/brain/Pim2/32583/thumbnails.html?ispopup=true","Thumbnails")</f>
        <v>Thumbnails</v>
      </c>
    </row>
    <row r="277" spans="1:7" ht="12.75">
      <c r="A277">
        <v>275</v>
      </c>
      <c r="B277" t="s">
        <v>817</v>
      </c>
      <c r="C277" t="s">
        <v>818</v>
      </c>
      <c r="D277" t="s">
        <v>819</v>
      </c>
      <c r="E277">
        <v>50493</v>
      </c>
      <c r="F277" t="str">
        <f>HYPERLINK("http://mouse.brain-map.org/brain/Txnrd1/70565383.html?ispopup=true","Series summary")</f>
        <v>Series summary</v>
      </c>
      <c r="G277" t="str">
        <f>HYPERLINK("http://mouse.brain-map.org/brain/Txnrd1/70565383/thumbnails.html?ispopup=true","Thumbnails")</f>
        <v>Thumbnails</v>
      </c>
    </row>
    <row r="278" spans="1:7" ht="12.75">
      <c r="A278">
        <v>276</v>
      </c>
      <c r="B278" t="s">
        <v>514</v>
      </c>
      <c r="C278" t="s">
        <v>820</v>
      </c>
      <c r="D278" t="s">
        <v>516</v>
      </c>
      <c r="E278">
        <v>20617</v>
      </c>
      <c r="F278" t="str">
        <f>HYPERLINK("http://mouse.brain-map.org/brain/Snca/989.html?ispopup=true","Series summary")</f>
        <v>Series summary</v>
      </c>
      <c r="G278" t="str">
        <f>HYPERLINK("http://mouse.brain-map.org/brain/Snca/989/thumbnails.html?ispopup=true","Thumbnails")</f>
        <v>Thumbnails</v>
      </c>
    </row>
    <row r="279" spans="1:7" ht="12.75">
      <c r="A279">
        <v>277</v>
      </c>
      <c r="B279" t="s">
        <v>821</v>
      </c>
      <c r="C279" t="s">
        <v>822</v>
      </c>
      <c r="D279" t="s">
        <v>823</v>
      </c>
      <c r="E279">
        <v>14417</v>
      </c>
      <c r="F279" t="str">
        <f>HYPERLINK("http://mouse.brain-map.org/brain/Gad2/79903740.html?ispopup=true","Series summary")</f>
        <v>Series summary</v>
      </c>
      <c r="G279" t="str">
        <f>HYPERLINK("http://mouse.brain-map.org/brain/Gad2/79903740/thumbnails.html?ispopup=true","Thumbnails")</f>
        <v>Thumbnails</v>
      </c>
    </row>
    <row r="280" spans="1:7" ht="12.75">
      <c r="A280">
        <v>278</v>
      </c>
      <c r="B280" t="s">
        <v>71</v>
      </c>
      <c r="C280" t="s">
        <v>824</v>
      </c>
      <c r="D280" t="s">
        <v>73</v>
      </c>
      <c r="E280">
        <v>22318</v>
      </c>
      <c r="F280" t="str">
        <f>HYPERLINK("http://mouse.brain-map.org/brain/Vamp2/1092.html?ispopup=true","Series summary")</f>
        <v>Series summary</v>
      </c>
      <c r="G280" t="str">
        <f>HYPERLINK("http://mouse.brain-map.org/brain/Vamp2/1092/thumbnails.html?ispopup=true","Thumbnails")</f>
        <v>Thumbnails</v>
      </c>
    </row>
    <row r="281" spans="1:7" ht="12.75">
      <c r="A281">
        <v>279</v>
      </c>
      <c r="B281" t="s">
        <v>825</v>
      </c>
      <c r="C281" t="s">
        <v>826</v>
      </c>
      <c r="D281" t="s">
        <v>827</v>
      </c>
      <c r="E281">
        <v>74011</v>
      </c>
      <c r="F281" t="str">
        <f>HYPERLINK("http://mouse.brain-map.org/brain/Slc25a27/74988334.html?ispopup=true","Series summary")</f>
        <v>Series summary</v>
      </c>
      <c r="G281" t="str">
        <f>HYPERLINK("http://mouse.brain-map.org/brain/Slc25a27/74988334/thumbnails.html?ispopup=true","Thumbnails")</f>
        <v>Thumbnails</v>
      </c>
    </row>
    <row r="282" spans="1:7" ht="12.75">
      <c r="A282">
        <v>280</v>
      </c>
      <c r="B282" t="s">
        <v>828</v>
      </c>
      <c r="C282" t="s">
        <v>829</v>
      </c>
      <c r="D282" t="s">
        <v>830</v>
      </c>
      <c r="E282">
        <v>108655</v>
      </c>
      <c r="F282" t="str">
        <f>HYPERLINK("http://mouse.brain-map.org/brain/Foxp1/71249056.html?ispopup=true","Series summary")</f>
        <v>Series summary</v>
      </c>
      <c r="G282" t="str">
        <f>HYPERLINK("http://mouse.brain-map.org/brain/Foxp1/71249056/thumbnails.html?ispopup=true","Thumbnails")</f>
        <v>Thumbnails</v>
      </c>
    </row>
    <row r="283" spans="1:7" ht="12.75">
      <c r="A283">
        <v>281</v>
      </c>
      <c r="B283" t="s">
        <v>831</v>
      </c>
      <c r="C283" t="s">
        <v>832</v>
      </c>
      <c r="D283" t="s">
        <v>833</v>
      </c>
      <c r="E283" t="s">
        <v>58</v>
      </c>
      <c r="F283" t="str">
        <f>HYPERLINK("http://mouse.brain-map.org/brain/TC1481850/70812774.html?ispopup=true","Series summary")</f>
        <v>Series summary</v>
      </c>
      <c r="G283" t="str">
        <f>HYPERLINK("http://mouse.brain-map.org/brain/TC1481850/70812774/thumbnails.html?ispopup=true","Thumbnails")</f>
        <v>Thumbnails</v>
      </c>
    </row>
    <row r="284" spans="1:7" ht="12.75">
      <c r="A284">
        <v>282</v>
      </c>
      <c r="B284" t="s">
        <v>834</v>
      </c>
      <c r="C284" t="s">
        <v>835</v>
      </c>
      <c r="D284" t="s">
        <v>836</v>
      </c>
      <c r="E284">
        <v>54141</v>
      </c>
      <c r="F284" t="str">
        <f>HYPERLINK("http://mouse.brain-map.org/brain/Spag5/72081516.html?ispopup=true","Series summary")</f>
        <v>Series summary</v>
      </c>
      <c r="G284" t="str">
        <f>HYPERLINK("http://mouse.brain-map.org/brain/Spag5/72081516/thumbnails.html?ispopup=true","Thumbnails")</f>
        <v>Thumbnails</v>
      </c>
    </row>
    <row r="285" spans="1:7" ht="12.75">
      <c r="A285">
        <v>283</v>
      </c>
      <c r="B285" t="s">
        <v>837</v>
      </c>
      <c r="C285" t="s">
        <v>838</v>
      </c>
      <c r="D285" t="s">
        <v>839</v>
      </c>
      <c r="E285">
        <v>244882</v>
      </c>
      <c r="F285" t="str">
        <f>HYPERLINK("http://mouse.brain-map.org/brain/Tnfaip8l3/69447870.html?ispopup=true","Series summary")</f>
        <v>Series summary</v>
      </c>
      <c r="G285" t="str">
        <f>HYPERLINK("http://mouse.brain-map.org/brain/Tnfaip8l3/69447870/thumbnails.html?ispopup=true","Thumbnails")</f>
        <v>Thumbnails</v>
      </c>
    </row>
    <row r="286" spans="1:7" ht="12.75">
      <c r="A286">
        <v>284</v>
      </c>
      <c r="B286" t="s">
        <v>840</v>
      </c>
      <c r="C286" t="s">
        <v>841</v>
      </c>
      <c r="D286" t="s">
        <v>842</v>
      </c>
      <c r="E286">
        <v>19699</v>
      </c>
      <c r="F286" t="str">
        <f>HYPERLINK("http://mouse.brain-map.org/brain/Reln/890.html?ispopup=true","Series summary")</f>
        <v>Series summary</v>
      </c>
      <c r="G286" t="str">
        <f>HYPERLINK("http://mouse.brain-map.org/brain/Reln/890/thumbnails.html?ispopup=true","Thumbnails")</f>
        <v>Thumbnails</v>
      </c>
    </row>
    <row r="287" spans="1:7" ht="12.75">
      <c r="A287">
        <v>285</v>
      </c>
      <c r="B287" t="s">
        <v>843</v>
      </c>
      <c r="C287" t="s">
        <v>844</v>
      </c>
      <c r="D287" t="s">
        <v>845</v>
      </c>
      <c r="E287">
        <v>12799</v>
      </c>
      <c r="F287" t="str">
        <f>HYPERLINK("http://mouse.brain-map.org/brain/Cnp1/1175.html?ispopup=true","Series summary")</f>
        <v>Series summary</v>
      </c>
      <c r="G287" t="str">
        <f>HYPERLINK("http://mouse.brain-map.org/brain/Cnp1/1175/thumbnails.html?ispopup=true","Thumbnails")</f>
        <v>Thumbnails</v>
      </c>
    </row>
    <row r="288" spans="1:7" ht="12.75">
      <c r="A288">
        <v>286</v>
      </c>
      <c r="B288" t="s">
        <v>846</v>
      </c>
      <c r="C288" t="s">
        <v>847</v>
      </c>
      <c r="D288" t="s">
        <v>848</v>
      </c>
      <c r="E288" t="s">
        <v>58</v>
      </c>
      <c r="F288" t="str">
        <f>HYPERLINK("http://mouse.brain-map.org/brain/F930048A06Rik*/73767424.html?ispopup=true","Series summary")</f>
        <v>Series summary</v>
      </c>
      <c r="G288" t="str">
        <f>HYPERLINK("http://mouse.brain-map.org/brain/F930048A06Rik*/73767424/thumbnails.html?ispopup=true","Thumbnails")</f>
        <v>Thumbnails</v>
      </c>
    </row>
    <row r="289" spans="1:7" ht="12.75">
      <c r="A289">
        <v>287</v>
      </c>
      <c r="B289" t="s">
        <v>849</v>
      </c>
      <c r="C289" t="s">
        <v>850</v>
      </c>
      <c r="D289" t="s">
        <v>851</v>
      </c>
      <c r="E289">
        <v>83702</v>
      </c>
      <c r="F289" t="str">
        <f>HYPERLINK("http://mouse.brain-map.org/brain/Akr1c6/70946159.html?ispopup=true","Series summary")</f>
        <v>Series summary</v>
      </c>
      <c r="G289" t="str">
        <f>HYPERLINK("http://mouse.brain-map.org/brain/Akr1c6/70946159/thumbnails.html?ispopup=true","Thumbnails")</f>
        <v>Thumbnails</v>
      </c>
    </row>
    <row r="290" spans="1:7" ht="12.75">
      <c r="A290">
        <v>288</v>
      </c>
      <c r="B290" t="s">
        <v>383</v>
      </c>
      <c r="C290" t="s">
        <v>852</v>
      </c>
      <c r="D290" t="s">
        <v>385</v>
      </c>
      <c r="E290">
        <v>70546</v>
      </c>
      <c r="F290" t="str">
        <f>HYPERLINK("http://mouse.brain-map.org/brain/Zdhhc2/70598366.html?ispopup=true","Series summary")</f>
        <v>Series summary</v>
      </c>
      <c r="G290" t="str">
        <f>HYPERLINK("http://mouse.brain-map.org/brain/Zdhhc2/70598366/thumbnails.html?ispopup=true","Thumbnails")</f>
        <v>Thumbnails</v>
      </c>
    </row>
    <row r="291" spans="1:7" ht="12.75">
      <c r="A291">
        <v>289</v>
      </c>
      <c r="B291" t="s">
        <v>853</v>
      </c>
      <c r="C291" t="s">
        <v>854</v>
      </c>
      <c r="D291" t="s">
        <v>855</v>
      </c>
      <c r="E291">
        <v>20847</v>
      </c>
      <c r="F291" t="str">
        <f>HYPERLINK("http://mouse.brain-map.org/brain/Stat2/69133653.html?ispopup=true","Series summary")</f>
        <v>Series summary</v>
      </c>
      <c r="G291" t="str">
        <f>HYPERLINK("http://mouse.brain-map.org/brain/Stat2/69133653/thumbnails.html?ispopup=true","Thumbnails")</f>
        <v>Thumbnails</v>
      </c>
    </row>
    <row r="292" spans="1:7" ht="12.75">
      <c r="A292">
        <v>290</v>
      </c>
      <c r="B292" t="s">
        <v>856</v>
      </c>
      <c r="C292" t="s">
        <v>857</v>
      </c>
      <c r="D292" t="s">
        <v>858</v>
      </c>
      <c r="E292">
        <v>217517</v>
      </c>
      <c r="F292" t="str">
        <f>HYPERLINK("http://mouse.brain-map.org/brain/Stxbp6/70744323.html?ispopup=true","Series summary")</f>
        <v>Series summary</v>
      </c>
      <c r="G292" t="str">
        <f>HYPERLINK("http://mouse.brain-map.org/brain/Stxbp6/70744323/thumbnails.html?ispopup=true","Thumbnails")</f>
        <v>Thumbnails</v>
      </c>
    </row>
    <row r="293" spans="1:7" ht="12.75">
      <c r="A293">
        <v>291</v>
      </c>
      <c r="B293" t="s">
        <v>859</v>
      </c>
      <c r="C293" t="s">
        <v>860</v>
      </c>
      <c r="D293" t="s">
        <v>861</v>
      </c>
      <c r="E293">
        <v>76415</v>
      </c>
      <c r="F293" t="str">
        <f>HYPERLINK("http://mouse.brain-map.org/brain/Tmem162/71919182.html?ispopup=true","Series summary")</f>
        <v>Series summary</v>
      </c>
      <c r="G293" t="str">
        <f>HYPERLINK("http://mouse.brain-map.org/brain/Tmem162/71919182/thumbnails.html?ispopup=true","Thumbnails")</f>
        <v>Thumbnails</v>
      </c>
    </row>
    <row r="294" spans="1:7" ht="12.75">
      <c r="A294">
        <v>292</v>
      </c>
      <c r="B294" t="s">
        <v>862</v>
      </c>
      <c r="C294" t="s">
        <v>863</v>
      </c>
      <c r="D294" t="s">
        <v>864</v>
      </c>
      <c r="E294">
        <v>72313</v>
      </c>
      <c r="F294" t="str">
        <f>HYPERLINK("http://mouse.brain-map.org/brain/Fryl/70431430.html?ispopup=true","Series summary")</f>
        <v>Series summary</v>
      </c>
      <c r="G294" t="str">
        <f>HYPERLINK("http://mouse.brain-map.org/brain/Fryl/70431430/thumbnails.html?ispopup=true","Thumbnails")</f>
        <v>Thumbnails</v>
      </c>
    </row>
    <row r="295" spans="1:7" ht="12.75">
      <c r="A295">
        <v>293</v>
      </c>
      <c r="B295" t="s">
        <v>865</v>
      </c>
      <c r="C295" t="s">
        <v>866</v>
      </c>
      <c r="D295" t="s">
        <v>867</v>
      </c>
      <c r="E295">
        <v>223726</v>
      </c>
      <c r="F295" t="str">
        <f>HYPERLINK("http://mouse.brain-map.org/brain/Mpped1/68861785.html?ispopup=true","Series summary")</f>
        <v>Series summary</v>
      </c>
      <c r="G295" t="str">
        <f>HYPERLINK("http://mouse.brain-map.org/brain/Mpped1/68861785/thumbnails.html?ispopup=true","Thumbnails")</f>
        <v>Thumbnails</v>
      </c>
    </row>
    <row r="296" spans="1:7" ht="12.75">
      <c r="A296">
        <v>294</v>
      </c>
      <c r="B296" t="s">
        <v>868</v>
      </c>
      <c r="C296" t="s">
        <v>869</v>
      </c>
      <c r="D296" t="s">
        <v>870</v>
      </c>
      <c r="E296">
        <v>18212</v>
      </c>
      <c r="F296" t="str">
        <f>HYPERLINK("http://mouse.brain-map.org/brain/Ntrk2/746.html?ispopup=true","Series summary")</f>
        <v>Series summary</v>
      </c>
      <c r="G296" t="str">
        <f>HYPERLINK("http://mouse.brain-map.org/brain/Ntrk2/746/thumbnails.html?ispopup=true","Thumbnails")</f>
        <v>Thumbnails</v>
      </c>
    </row>
    <row r="297" spans="1:7" ht="12.75">
      <c r="A297">
        <v>295</v>
      </c>
      <c r="B297" t="s">
        <v>386</v>
      </c>
      <c r="C297" t="s">
        <v>871</v>
      </c>
      <c r="D297" t="s">
        <v>388</v>
      </c>
      <c r="E297">
        <v>21336</v>
      </c>
      <c r="F297" t="str">
        <f>HYPERLINK("http://mouse.brain-map.org/brain/Tacr1/79904248.html?ispopup=true","Series summary")</f>
        <v>Series summary</v>
      </c>
      <c r="G297" t="str">
        <f>HYPERLINK("http://mouse.brain-map.org/brain/Tacr1/79904248/thumbnails.html?ispopup=true","Thumbnails")</f>
        <v>Thumbnails</v>
      </c>
    </row>
    <row r="298" spans="1:7" ht="12.75">
      <c r="A298">
        <v>296</v>
      </c>
      <c r="B298" t="s">
        <v>872</v>
      </c>
      <c r="C298" t="s">
        <v>873</v>
      </c>
      <c r="D298" t="s">
        <v>874</v>
      </c>
      <c r="E298">
        <v>16158</v>
      </c>
      <c r="F298" t="str">
        <f>HYPERLINK("http://mouse.brain-map.org/brain/Il11ra2/75041444.html?ispopup=true","Series summary")</f>
        <v>Series summary</v>
      </c>
      <c r="G298" t="str">
        <f>HYPERLINK("http://mouse.brain-map.org/brain/Il11ra2/75041444/thumbnails.html?ispopup=true","Thumbnails")</f>
        <v>Thumbnails</v>
      </c>
    </row>
    <row r="299" spans="1:7" ht="12.75">
      <c r="A299">
        <v>297</v>
      </c>
      <c r="B299" t="s">
        <v>875</v>
      </c>
      <c r="C299" t="s">
        <v>876</v>
      </c>
      <c r="D299" t="s">
        <v>877</v>
      </c>
      <c r="E299">
        <v>18231</v>
      </c>
      <c r="F299" t="str">
        <f>HYPERLINK("http://mouse.brain-map.org/brain/Nxph1/75084479.html?ispopup=true","Series summary")</f>
        <v>Series summary</v>
      </c>
      <c r="G299" t="str">
        <f>HYPERLINK("http://mouse.brain-map.org/brain/Nxph1/75084479/thumbnails.html?ispopup=true","Thumbnails")</f>
        <v>Thumbnails</v>
      </c>
    </row>
    <row r="300" spans="1:7" ht="12.75">
      <c r="A300">
        <v>298</v>
      </c>
      <c r="B300" t="s">
        <v>878</v>
      </c>
      <c r="C300" t="s">
        <v>879</v>
      </c>
      <c r="D300" t="s">
        <v>880</v>
      </c>
      <c r="E300">
        <v>22173</v>
      </c>
      <c r="F300" t="str">
        <f>HYPERLINK("http://mouse.brain-map.org/brain/Tyr/2703.html?ispopup=true","Series summary")</f>
        <v>Series summary</v>
      </c>
      <c r="G300" t="str">
        <f>HYPERLINK("http://mouse.brain-map.org/brain/Tyr/2703/thumbnails.html?ispopup=true","Thumbnails")</f>
        <v>Thumbnails</v>
      </c>
    </row>
    <row r="301" spans="1:7" ht="12.75">
      <c r="A301">
        <v>299</v>
      </c>
      <c r="B301" t="s">
        <v>881</v>
      </c>
      <c r="C301" t="s">
        <v>882</v>
      </c>
      <c r="D301" t="s">
        <v>883</v>
      </c>
      <c r="E301">
        <v>14802</v>
      </c>
      <c r="F301" t="str">
        <f>HYPERLINK("http://mouse.brain-map.org/brain/Gria4/68844654.html?ispopup=true","Series summary")</f>
        <v>Series summary</v>
      </c>
      <c r="G301" t="str">
        <f>HYPERLINK("http://mouse.brain-map.org/brain/Gria4/68844654/thumbnails.html?ispopup=true","Thumbnails")</f>
        <v>Thumbnails</v>
      </c>
    </row>
    <row r="302" spans="1:7" ht="12.75">
      <c r="A302">
        <v>300</v>
      </c>
      <c r="B302" t="s">
        <v>884</v>
      </c>
      <c r="C302" t="s">
        <v>885</v>
      </c>
      <c r="D302" t="s">
        <v>886</v>
      </c>
      <c r="E302">
        <v>114601</v>
      </c>
      <c r="F302" t="str">
        <f>HYPERLINK("http://mouse.brain-map.org/brain/G430002G23Rik/73817932.html?ispopup=true","Series summary")</f>
        <v>Series summary</v>
      </c>
      <c r="G302" t="str">
        <f>HYPERLINK("http://mouse.brain-map.org/brain/G430002G23Rik/73817932/thumbnails.html?ispopup=true","Thumbnails")</f>
        <v>Thumbnails</v>
      </c>
    </row>
    <row r="303" spans="1:7" ht="12.75">
      <c r="A303">
        <v>301</v>
      </c>
      <c r="B303" t="s">
        <v>887</v>
      </c>
      <c r="C303" t="s">
        <v>888</v>
      </c>
      <c r="D303" t="s">
        <v>889</v>
      </c>
      <c r="E303">
        <v>26466</v>
      </c>
      <c r="F303" t="str">
        <f>HYPERLINK("http://mouse.brain-map.org/brain/Zfp260/75080996.html?ispopup=true","Series summary")</f>
        <v>Series summary</v>
      </c>
      <c r="G303" t="str">
        <f>HYPERLINK("http://mouse.brain-map.org/brain/Zfp260/75080996/thumbnails.html?ispopup=true","Thumbnails")</f>
        <v>Thumbnails</v>
      </c>
    </row>
    <row r="304" spans="1:7" ht="12.75">
      <c r="A304">
        <v>302</v>
      </c>
      <c r="B304" t="s">
        <v>890</v>
      </c>
      <c r="C304" t="s">
        <v>891</v>
      </c>
      <c r="D304" t="s">
        <v>892</v>
      </c>
      <c r="E304">
        <v>53619</v>
      </c>
      <c r="F304" t="str">
        <f>HYPERLINK("http://mouse.brain-map.org/brain/Blcap/68637575.html?ispopup=true","Series summary")</f>
        <v>Series summary</v>
      </c>
      <c r="G304" t="str">
        <f>HYPERLINK("http://mouse.brain-map.org/brain/Blcap/68637575/thumbnails.html?ispopup=true","Thumbnails")</f>
        <v>Thumbnails</v>
      </c>
    </row>
    <row r="305" spans="1:7" ht="12.75">
      <c r="A305">
        <v>303</v>
      </c>
      <c r="B305" t="s">
        <v>893</v>
      </c>
      <c r="C305" t="s">
        <v>894</v>
      </c>
      <c r="D305" t="s">
        <v>895</v>
      </c>
      <c r="E305">
        <v>24030</v>
      </c>
      <c r="F305" t="str">
        <f>HYPERLINK("http://mouse.brain-map.org/brain/Mrps12/68301365.html?ispopup=true","Series summary")</f>
        <v>Series summary</v>
      </c>
      <c r="G305" t="str">
        <f>HYPERLINK("http://mouse.brain-map.org/brain/Mrps12/68301365/thumbnails.html?ispopup=true","Thumbnails")</f>
        <v>Thumbnails</v>
      </c>
    </row>
    <row r="306" spans="1:7" ht="12.75">
      <c r="A306">
        <v>304</v>
      </c>
      <c r="B306" t="s">
        <v>896</v>
      </c>
      <c r="C306" t="s">
        <v>897</v>
      </c>
      <c r="D306" t="s">
        <v>898</v>
      </c>
      <c r="E306">
        <v>29875</v>
      </c>
      <c r="F306" t="str">
        <f>HYPERLINK("http://mouse.brain-map.org/brain/Iqgap1/69262296.html?ispopup=true","Series summary")</f>
        <v>Series summary</v>
      </c>
      <c r="G306" t="str">
        <f>HYPERLINK("http://mouse.brain-map.org/brain/Iqgap1/69262296/thumbnails.html?ispopup=true","Thumbnails")</f>
        <v>Thumbnails</v>
      </c>
    </row>
    <row r="307" spans="1:7" ht="12.75">
      <c r="A307">
        <v>305</v>
      </c>
      <c r="B307" t="s">
        <v>899</v>
      </c>
      <c r="C307" t="s">
        <v>900</v>
      </c>
      <c r="D307" t="s">
        <v>901</v>
      </c>
      <c r="E307">
        <v>104394</v>
      </c>
      <c r="F307" t="str">
        <f>HYPERLINK("http://mouse.brain-map.org/brain/E2f4/1195.html?ispopup=true","Series summary")</f>
        <v>Series summary</v>
      </c>
      <c r="G307" t="str">
        <f>HYPERLINK("http://mouse.brain-map.org/brain/E2f4/1195/thumbnails.html?ispopup=true","Thumbnails")</f>
        <v>Thumbnails</v>
      </c>
    </row>
    <row r="308" spans="1:7" ht="12.75">
      <c r="A308">
        <v>306</v>
      </c>
      <c r="B308" t="s">
        <v>902</v>
      </c>
      <c r="C308" t="s">
        <v>903</v>
      </c>
      <c r="D308" t="s">
        <v>904</v>
      </c>
      <c r="E308">
        <v>433311</v>
      </c>
      <c r="F308" t="str">
        <f>HYPERLINK("http://mouse.brain-map.org/brain/LOC433311/74988757.html?ispopup=true","Series summary")</f>
        <v>Series summary</v>
      </c>
      <c r="G308" t="str">
        <f>HYPERLINK("http://mouse.brain-map.org/brain/LOC433311/74988757/thumbnails.html?ispopup=true","Thumbnails")</f>
        <v>Thumbnails</v>
      </c>
    </row>
    <row r="309" spans="1:7" ht="12.75">
      <c r="A309">
        <v>307</v>
      </c>
      <c r="B309" t="s">
        <v>905</v>
      </c>
      <c r="C309" t="s">
        <v>906</v>
      </c>
      <c r="D309" t="s">
        <v>907</v>
      </c>
      <c r="E309">
        <v>102022</v>
      </c>
      <c r="F309" t="str">
        <f>HYPERLINK("http://mouse.brain-map.org/brain/Ces6/75861873.html?ispopup=true","Series summary")</f>
        <v>Series summary</v>
      </c>
      <c r="G309" t="str">
        <f>HYPERLINK("http://mouse.brain-map.org/brain/Ces6/75861873/thumbnails.html?ispopup=true","Thumbnails")</f>
        <v>Thumbnails</v>
      </c>
    </row>
    <row r="310" spans="1:7" ht="12.75">
      <c r="A310">
        <v>308</v>
      </c>
      <c r="B310" t="s">
        <v>908</v>
      </c>
      <c r="C310" t="s">
        <v>909</v>
      </c>
      <c r="D310" t="s">
        <v>910</v>
      </c>
      <c r="E310">
        <v>110893</v>
      </c>
      <c r="F310" t="str">
        <f>HYPERLINK("http://mouse.brain-map.org/brain/Slc8a3/74357546.html?ispopup=true","Series summary")</f>
        <v>Series summary</v>
      </c>
      <c r="G310" t="str">
        <f>HYPERLINK("http://mouse.brain-map.org/brain/Slc8a3/74357546/thumbnails.html?ispopup=true","Thumbnails")</f>
        <v>Thumbnails</v>
      </c>
    </row>
    <row r="311" spans="1:7" ht="12.75">
      <c r="A311">
        <v>309</v>
      </c>
      <c r="B311" t="s">
        <v>911</v>
      </c>
      <c r="C311" t="s">
        <v>912</v>
      </c>
      <c r="D311" t="s">
        <v>913</v>
      </c>
      <c r="E311">
        <v>22715</v>
      </c>
      <c r="F311" t="str">
        <f>HYPERLINK("http://mouse.brain-map.org/brain/Zfp57/72103842.html?ispopup=true","Series summary")</f>
        <v>Series summary</v>
      </c>
      <c r="G311" t="str">
        <f>HYPERLINK("http://mouse.brain-map.org/brain/Zfp57/72103842/thumbnails.html?ispopup=true","Thumbnails")</f>
        <v>Thumbnails</v>
      </c>
    </row>
    <row r="312" spans="1:7" ht="12.75">
      <c r="A312">
        <v>310</v>
      </c>
      <c r="B312" t="s">
        <v>914</v>
      </c>
      <c r="C312" t="s">
        <v>915</v>
      </c>
      <c r="D312" t="s">
        <v>916</v>
      </c>
      <c r="E312">
        <v>73723</v>
      </c>
      <c r="F312" t="str">
        <f>HYPERLINK("http://mouse.brain-map.org/brain/Sh3bgrl3/69873708.html?ispopup=true","Series summary")</f>
        <v>Series summary</v>
      </c>
      <c r="G312" t="str">
        <f>HYPERLINK("http://mouse.brain-map.org/brain/Sh3bgrl3/69873708/thumbnails.html?ispopup=true","Thumbnails")</f>
        <v>Thumbnails</v>
      </c>
    </row>
    <row r="313" spans="1:7" ht="12.75">
      <c r="A313">
        <v>311</v>
      </c>
      <c r="B313" t="s">
        <v>917</v>
      </c>
      <c r="C313" t="s">
        <v>918</v>
      </c>
      <c r="D313" t="s">
        <v>919</v>
      </c>
      <c r="E313">
        <v>70571</v>
      </c>
      <c r="F313" t="str">
        <f>HYPERLINK("http://mouse.brain-map.org/brain/Tcerg1l/69980208.html?ispopup=true","Series summary")</f>
        <v>Series summary</v>
      </c>
      <c r="G313" t="str">
        <f>HYPERLINK("http://mouse.brain-map.org/brain/Tcerg1l/69980208/thumbnails.html?ispopup=true","Thumbnails")</f>
        <v>Thumbnails</v>
      </c>
    </row>
    <row r="314" spans="1:7" ht="12.75">
      <c r="A314">
        <v>312</v>
      </c>
      <c r="B314" t="s">
        <v>920</v>
      </c>
      <c r="C314" t="s">
        <v>921</v>
      </c>
      <c r="D314" t="s">
        <v>922</v>
      </c>
      <c r="E314">
        <v>29873</v>
      </c>
      <c r="F314" t="str">
        <f>HYPERLINK("http://mouse.brain-map.org/brain/Cspg5/73931385.html?ispopup=true","Series summary")</f>
        <v>Series summary</v>
      </c>
      <c r="G314" t="str">
        <f>HYPERLINK("http://mouse.brain-map.org/brain/Cspg5/73931385/thumbnails.html?ispopup=true","Thumbnails")</f>
        <v>Thumbnails</v>
      </c>
    </row>
    <row r="315" spans="1:7" ht="12.75">
      <c r="A315">
        <v>313</v>
      </c>
      <c r="B315" t="s">
        <v>923</v>
      </c>
      <c r="C315" t="s">
        <v>924</v>
      </c>
      <c r="D315" t="s">
        <v>925</v>
      </c>
      <c r="E315">
        <v>13823</v>
      </c>
      <c r="F315" t="str">
        <f>HYPERLINK("http://mouse.brain-map.org/brain/Epb4.1l3/72283605.html?ispopup=true","Series summary")</f>
        <v>Series summary</v>
      </c>
      <c r="G315" t="str">
        <f>HYPERLINK("http://mouse.brain-map.org/brain/Epb4.1l3/72283605/thumbnails.html?ispopup=true","Thumbnails")</f>
        <v>Thumbnails</v>
      </c>
    </row>
    <row r="316" spans="1:7" ht="12.75">
      <c r="A316">
        <v>314</v>
      </c>
      <c r="B316" t="s">
        <v>926</v>
      </c>
      <c r="C316" t="s">
        <v>927</v>
      </c>
      <c r="D316" t="s">
        <v>928</v>
      </c>
      <c r="E316">
        <v>56463</v>
      </c>
      <c r="F316" t="str">
        <f>HYPERLINK("http://mouse.brain-map.org/brain/AL033314/77869128.html?ispopup=true","Series summary")</f>
        <v>Series summary</v>
      </c>
      <c r="G316" t="str">
        <f>HYPERLINK("http://mouse.brain-map.org/brain/AL033314/77869128/thumbnails.html?ispopup=true","Thumbnails")</f>
        <v>Thumbnails</v>
      </c>
    </row>
    <row r="317" spans="1:7" ht="12.75">
      <c r="A317">
        <v>315</v>
      </c>
      <c r="B317" t="s">
        <v>929</v>
      </c>
      <c r="C317" t="s">
        <v>930</v>
      </c>
      <c r="D317" t="s">
        <v>931</v>
      </c>
      <c r="E317">
        <v>12804</v>
      </c>
      <c r="F317" t="str">
        <f>HYPERLINK("http://mouse.brain-map.org/brain/Cntfr/75651138.html?ispopup=true","Series summary")</f>
        <v>Series summary</v>
      </c>
      <c r="G317" t="str">
        <f>HYPERLINK("http://mouse.brain-map.org/brain/Cntfr/75651138/thumbnails.html?ispopup=true","Thumbnails")</f>
        <v>Thumbnails</v>
      </c>
    </row>
    <row r="318" spans="1:7" ht="12.75">
      <c r="A318">
        <v>316</v>
      </c>
      <c r="B318" t="s">
        <v>419</v>
      </c>
      <c r="C318" t="s">
        <v>932</v>
      </c>
      <c r="D318" t="s">
        <v>421</v>
      </c>
      <c r="E318">
        <v>18188</v>
      </c>
      <c r="F318" t="str">
        <f>HYPERLINK("http://mouse.brain-map.org/brain/Nrtn/741.html?ispopup=true","Series summary")</f>
        <v>Series summary</v>
      </c>
      <c r="G318" t="str">
        <f>HYPERLINK("http://mouse.brain-map.org/brain/Nrtn/741/thumbnails.html?ispopup=true","Thumbnails")</f>
        <v>Thumbnails</v>
      </c>
    </row>
    <row r="319" spans="1:7" ht="12.75">
      <c r="A319">
        <v>317</v>
      </c>
      <c r="B319" t="s">
        <v>933</v>
      </c>
      <c r="C319" t="s">
        <v>934</v>
      </c>
      <c r="D319" t="s">
        <v>935</v>
      </c>
      <c r="E319">
        <v>108069</v>
      </c>
      <c r="F319" t="str">
        <f>HYPERLINK("http://mouse.brain-map.org/brain/Grm3/81671346.html?ispopup=true","Series summary")</f>
        <v>Series summary</v>
      </c>
      <c r="G319" t="str">
        <f>HYPERLINK("http://mouse.brain-map.org/brain/Grm3/81671346/thumbnails.html?ispopup=true","Thumbnails")</f>
        <v>Thumbnails</v>
      </c>
    </row>
    <row r="320" spans="1:7" ht="12.75">
      <c r="A320">
        <v>318</v>
      </c>
      <c r="B320" t="s">
        <v>936</v>
      </c>
      <c r="C320" t="s">
        <v>937</v>
      </c>
      <c r="D320" t="s">
        <v>938</v>
      </c>
      <c r="E320">
        <v>20014</v>
      </c>
      <c r="F320" t="str">
        <f>HYPERLINK("http://mouse.brain-map.org/brain/Rpn2/906.html?ispopup=true","Series summary")</f>
        <v>Series summary</v>
      </c>
      <c r="G320" t="str">
        <f>HYPERLINK("http://mouse.brain-map.org/brain/Rpn2/906/thumbnails.html?ispopup=true","Thumbnails")</f>
        <v>Thumbnails</v>
      </c>
    </row>
    <row r="321" spans="1:7" ht="12.75">
      <c r="A321">
        <v>319</v>
      </c>
      <c r="B321" t="s">
        <v>939</v>
      </c>
      <c r="C321" t="s">
        <v>940</v>
      </c>
      <c r="D321" t="s">
        <v>941</v>
      </c>
      <c r="E321">
        <v>330959</v>
      </c>
      <c r="F321" t="str">
        <f>HYPERLINK("http://mouse.brain-map.org/brain/Snapc5/77910785.html?ispopup=true","Series summary")</f>
        <v>Series summary</v>
      </c>
      <c r="G321" t="str">
        <f>HYPERLINK("http://mouse.brain-map.org/brain/Snapc5/77910785/thumbnails.html?ispopup=true","Thumbnails")</f>
        <v>Thumbnails</v>
      </c>
    </row>
    <row r="322" spans="1:7" ht="12.75">
      <c r="A322">
        <v>320</v>
      </c>
      <c r="B322" t="s">
        <v>942</v>
      </c>
      <c r="C322" t="s">
        <v>943</v>
      </c>
      <c r="D322" t="s">
        <v>944</v>
      </c>
      <c r="E322">
        <v>214663</v>
      </c>
      <c r="F322" t="str">
        <f>HYPERLINK("http://mouse.brain-map.org/brain/Slc25a29/78534484.html?ispopup=true","Series summary")</f>
        <v>Series summary</v>
      </c>
      <c r="G322" t="str">
        <f>HYPERLINK("http://mouse.brain-map.org/brain/Slc25a29/78534484/thumbnails.html?ispopup=true","Thumbnails")</f>
        <v>Thumbnails</v>
      </c>
    </row>
    <row r="323" spans="1:7" ht="12.75">
      <c r="A323">
        <v>321</v>
      </c>
      <c r="B323" t="s">
        <v>945</v>
      </c>
      <c r="C323" t="s">
        <v>946</v>
      </c>
      <c r="D323" t="s">
        <v>947</v>
      </c>
      <c r="E323">
        <v>83770</v>
      </c>
      <c r="F323" t="str">
        <f>HYPERLINK("http://mouse.brain-map.org/brain/Tas1r2/74056139.html?ispopup=true","Series summary")</f>
        <v>Series summary</v>
      </c>
      <c r="G323" t="str">
        <f>HYPERLINK("http://mouse.brain-map.org/brain/Tas1r2/74056139/thumbnails.html?ispopup=true","Thumbnails")</f>
        <v>Thumbnails</v>
      </c>
    </row>
    <row r="324" spans="1:7" ht="12.75">
      <c r="A324">
        <v>322</v>
      </c>
      <c r="B324" t="s">
        <v>948</v>
      </c>
      <c r="C324" t="s">
        <v>949</v>
      </c>
      <c r="D324" t="s">
        <v>950</v>
      </c>
      <c r="E324" t="s">
        <v>58</v>
      </c>
      <c r="F324" t="str">
        <f>HYPERLINK("http://mouse.brain-map.org/brain/E430002B13Rik*/74300783.html?ispopup=true","Series summary")</f>
        <v>Series summary</v>
      </c>
      <c r="G324" t="str">
        <f>HYPERLINK("http://mouse.brain-map.org/brain/E430002B13Rik*/74300783/thumbnails.html?ispopup=true","Thumbnails")</f>
        <v>Thumbnails</v>
      </c>
    </row>
    <row r="325" spans="1:7" ht="12.75">
      <c r="A325">
        <v>323</v>
      </c>
      <c r="B325" t="s">
        <v>951</v>
      </c>
      <c r="C325" t="s">
        <v>952</v>
      </c>
      <c r="D325" t="s">
        <v>953</v>
      </c>
      <c r="E325">
        <v>69349</v>
      </c>
      <c r="F325" t="str">
        <f>HYPERLINK("http://mouse.brain-map.org/brain/1700008O03Rik/75934506.html?ispopup=true","Series summary")</f>
        <v>Series summary</v>
      </c>
      <c r="G325" t="str">
        <f>HYPERLINK("http://mouse.brain-map.org/brain/1700008O03Rik/75934506/thumbnails.html?ispopup=true","Thumbnails")</f>
        <v>Thumbnails</v>
      </c>
    </row>
    <row r="326" spans="1:7" ht="12.75">
      <c r="A326">
        <v>324</v>
      </c>
      <c r="B326" t="s">
        <v>954</v>
      </c>
      <c r="C326" t="s">
        <v>955</v>
      </c>
      <c r="D326" t="s">
        <v>956</v>
      </c>
      <c r="E326">
        <v>76574</v>
      </c>
      <c r="F326" t="str">
        <f>HYPERLINK("http://mouse.brain-map.org/brain/Mfsd2/68844397.html?ispopup=true","Series summary")</f>
        <v>Series summary</v>
      </c>
      <c r="G326" t="str">
        <f>HYPERLINK("http://mouse.brain-map.org/brain/Mfsd2/68844397/thumbnails.html?ispopup=true","Thumbnails")</f>
        <v>Thumbnails</v>
      </c>
    </row>
    <row r="327" spans="1:7" ht="12.75">
      <c r="A327">
        <v>325</v>
      </c>
      <c r="B327" t="s">
        <v>957</v>
      </c>
      <c r="C327" t="s">
        <v>958</v>
      </c>
      <c r="D327" t="s">
        <v>959</v>
      </c>
      <c r="E327">
        <v>12492</v>
      </c>
      <c r="F327" t="str">
        <f>HYPERLINK("http://mouse.brain-map.org/brain/Scarb2/68546500.html?ispopup=true","Series summary")</f>
        <v>Series summary</v>
      </c>
      <c r="G327" t="str">
        <f>HYPERLINK("http://mouse.brain-map.org/brain/Scarb2/68546500/thumbnails.html?ispopup=true","Thumbnails")</f>
        <v>Thumbnails</v>
      </c>
    </row>
    <row r="328" spans="1:7" ht="12.75">
      <c r="A328">
        <v>326</v>
      </c>
      <c r="B328" t="s">
        <v>960</v>
      </c>
      <c r="C328" t="s">
        <v>961</v>
      </c>
      <c r="D328" t="s">
        <v>962</v>
      </c>
      <c r="E328">
        <v>226252</v>
      </c>
      <c r="F328" t="str">
        <f>HYPERLINK("http://mouse.brain-map.org/brain/AI450540/69169959.html?ispopup=true","Series summary")</f>
        <v>Series summary</v>
      </c>
      <c r="G328" t="str">
        <f>HYPERLINK("http://mouse.brain-map.org/brain/AI450540/69169959/thumbnails.html?ispopup=true","Thumbnails")</f>
        <v>Thumbnails</v>
      </c>
    </row>
    <row r="329" spans="1:7" ht="12.75">
      <c r="A329">
        <v>327</v>
      </c>
      <c r="B329" t="s">
        <v>963</v>
      </c>
      <c r="C329" t="s">
        <v>964</v>
      </c>
      <c r="D329" t="s">
        <v>965</v>
      </c>
      <c r="E329">
        <v>14455</v>
      </c>
      <c r="F329" t="str">
        <f>HYPERLINK("http://mouse.brain-map.org/brain/Gas5/483.html?ispopup=true","Series summary")</f>
        <v>Series summary</v>
      </c>
      <c r="G329" t="str">
        <f>HYPERLINK("http://mouse.brain-map.org/brain/Gas5/483/thumbnails.html?ispopup=true","Thumbnails")</f>
        <v>Thumbnails</v>
      </c>
    </row>
    <row r="330" spans="1:7" ht="12.75">
      <c r="A330">
        <v>328</v>
      </c>
      <c r="B330" t="s">
        <v>966</v>
      </c>
      <c r="C330" t="s">
        <v>967</v>
      </c>
      <c r="D330" t="s">
        <v>968</v>
      </c>
      <c r="E330">
        <v>432425</v>
      </c>
      <c r="F330" t="str">
        <f>HYPERLINK("http://mouse.brain-map.org/brain/LOC432425/74509476.html?ispopup=true","Series summary")</f>
        <v>Series summary</v>
      </c>
      <c r="G330" t="str">
        <f>HYPERLINK("http://mouse.brain-map.org/brain/LOC432425/74509476/thumbnails.html?ispopup=true","Thumbnails")</f>
        <v>Thumbnails</v>
      </c>
    </row>
    <row r="331" spans="1:7" ht="12.75">
      <c r="A331">
        <v>329</v>
      </c>
      <c r="B331" t="s">
        <v>969</v>
      </c>
      <c r="C331" t="s">
        <v>970</v>
      </c>
      <c r="D331" t="s">
        <v>971</v>
      </c>
      <c r="E331">
        <v>14083</v>
      </c>
      <c r="F331" t="str">
        <f>HYPERLINK("http://mouse.brain-map.org/brain/Ptk2/75774672.html?ispopup=true","Series summary")</f>
        <v>Series summary</v>
      </c>
      <c r="G331" t="str">
        <f>HYPERLINK("http://mouse.brain-map.org/brain/Ptk2/75774672/thumbnails.html?ispopup=true","Thumbnails")</f>
        <v>Thumbnails</v>
      </c>
    </row>
    <row r="332" spans="1:7" ht="12.75">
      <c r="A332">
        <v>330</v>
      </c>
      <c r="B332" t="s">
        <v>972</v>
      </c>
      <c r="C332" t="s">
        <v>973</v>
      </c>
      <c r="D332" t="s">
        <v>974</v>
      </c>
      <c r="E332">
        <v>19009</v>
      </c>
      <c r="F332" t="str">
        <f>HYPERLINK("http://mouse.brain-map.org/brain/Pou6f1/74357559.html?ispopup=true","Series summary")</f>
        <v>Series summary</v>
      </c>
      <c r="G332" t="str">
        <f>HYPERLINK("http://mouse.brain-map.org/brain/Pou6f1/74357559/thumbnails.html?ispopup=true","Thumbnails")</f>
        <v>Thumbnails</v>
      </c>
    </row>
    <row r="333" spans="1:7" ht="12.75">
      <c r="A333">
        <v>331</v>
      </c>
      <c r="B333" t="s">
        <v>929</v>
      </c>
      <c r="C333" t="s">
        <v>975</v>
      </c>
      <c r="D333" t="s">
        <v>931</v>
      </c>
      <c r="E333">
        <v>12804</v>
      </c>
      <c r="F333" t="str">
        <f>HYPERLINK("http://mouse.brain-map.org/brain/Cntfr/71656697.html?ispopup=true","Series summary")</f>
        <v>Series summary</v>
      </c>
      <c r="G333" t="str">
        <f>HYPERLINK("http://mouse.brain-map.org/brain/Cntfr/71656697/thumbnails.html?ispopup=true","Thumbnails")</f>
        <v>Thumbnails</v>
      </c>
    </row>
    <row r="334" spans="1:7" ht="12.75">
      <c r="A334">
        <v>332</v>
      </c>
      <c r="B334" t="s">
        <v>976</v>
      </c>
      <c r="C334" t="s">
        <v>977</v>
      </c>
      <c r="D334" t="s">
        <v>978</v>
      </c>
      <c r="E334">
        <v>29817</v>
      </c>
      <c r="F334" t="str">
        <f>HYPERLINK("http://mouse.brain-map.org/brain/Igfbp7/81654139.html?ispopup=true","Series summary")</f>
        <v>Series summary</v>
      </c>
      <c r="G334" t="str">
        <f>HYPERLINK("http://mouse.brain-map.org/brain/Igfbp7/81654139/thumbnails.html?ispopup=true","Thumbnails")</f>
        <v>Thumbnails</v>
      </c>
    </row>
    <row r="335" spans="1:7" ht="12.75">
      <c r="A335">
        <v>333</v>
      </c>
      <c r="B335" t="s">
        <v>979</v>
      </c>
      <c r="C335" t="s">
        <v>980</v>
      </c>
      <c r="D335" t="s">
        <v>981</v>
      </c>
      <c r="E335">
        <v>433727</v>
      </c>
      <c r="F335" t="str">
        <f>HYPERLINK("http://mouse.brain-map.org/brain/LOC433727/72076418.html?ispopup=true","Series summary")</f>
        <v>Series summary</v>
      </c>
      <c r="G335" t="str">
        <f>HYPERLINK("http://mouse.brain-map.org/brain/LOC433727/72076418/thumbnails.html?ispopup=true","Thumbnails")</f>
        <v>Thumbnails</v>
      </c>
    </row>
    <row r="336" spans="1:7" ht="12.75">
      <c r="A336">
        <v>334</v>
      </c>
      <c r="B336" t="s">
        <v>982</v>
      </c>
      <c r="C336" t="s">
        <v>983</v>
      </c>
      <c r="D336" t="s">
        <v>984</v>
      </c>
      <c r="E336">
        <v>57443</v>
      </c>
      <c r="F336" t="str">
        <f>HYPERLINK("http://mouse.brain-map.org/brain/Fbxo3/69103916.html?ispopup=true","Series summary")</f>
        <v>Series summary</v>
      </c>
      <c r="G336" t="str">
        <f>HYPERLINK("http://mouse.brain-map.org/brain/Fbxo3/69103916/thumbnails.html?ispopup=true","Thumbnails")</f>
        <v>Thumbnails</v>
      </c>
    </row>
    <row r="337" spans="1:7" ht="12.75">
      <c r="A337">
        <v>335</v>
      </c>
      <c r="B337" t="s">
        <v>985</v>
      </c>
      <c r="C337" t="s">
        <v>986</v>
      </c>
      <c r="D337" t="s">
        <v>987</v>
      </c>
      <c r="E337">
        <v>18111</v>
      </c>
      <c r="F337" t="str">
        <f>HYPERLINK("http://mouse.brain-map.org/brain/Nnat/77887874.html?ispopup=true","Series summary")</f>
        <v>Series summary</v>
      </c>
      <c r="G337" t="str">
        <f>HYPERLINK("http://mouse.brain-map.org/brain/Nnat/77887874/thumbnails.html?ispopup=true","Thumbnails")</f>
        <v>Thumbnails</v>
      </c>
    </row>
    <row r="338" spans="1:7" ht="12.75">
      <c r="A338">
        <v>336</v>
      </c>
      <c r="B338" t="s">
        <v>988</v>
      </c>
      <c r="C338" t="s">
        <v>989</v>
      </c>
      <c r="D338" t="s">
        <v>990</v>
      </c>
      <c r="E338">
        <v>50785</v>
      </c>
      <c r="F338" t="str">
        <f>HYPERLINK("http://mouse.brain-map.org/brain/Hs6st1/74819258.html?ispopup=true","Series summary")</f>
        <v>Series summary</v>
      </c>
      <c r="G338" t="str">
        <f>HYPERLINK("http://mouse.brain-map.org/brain/Hs6st1/74819258/thumbnails.html?ispopup=true","Thumbnails")</f>
        <v>Thumbnails</v>
      </c>
    </row>
    <row r="339" spans="1:7" ht="12.75">
      <c r="A339">
        <v>337</v>
      </c>
      <c r="B339" t="s">
        <v>991</v>
      </c>
      <c r="C339" t="s">
        <v>992</v>
      </c>
      <c r="D339" t="s">
        <v>993</v>
      </c>
      <c r="E339">
        <v>70237</v>
      </c>
      <c r="F339" t="str">
        <f>HYPERLINK("http://mouse.brain-map.org/brain/Bhlhb9/74274689.html?ispopup=true","Series summary")</f>
        <v>Series summary</v>
      </c>
      <c r="G339" t="str">
        <f>HYPERLINK("http://mouse.brain-map.org/brain/Bhlhb9/74274689/thumbnails.html?ispopup=true","Thumbnails")</f>
        <v>Thumbnails</v>
      </c>
    </row>
    <row r="340" spans="1:7" ht="12.75">
      <c r="A340">
        <v>338</v>
      </c>
      <c r="B340" t="s">
        <v>994</v>
      </c>
      <c r="C340" t="s">
        <v>995</v>
      </c>
      <c r="D340" t="s">
        <v>996</v>
      </c>
      <c r="E340">
        <v>50933</v>
      </c>
      <c r="F340" t="str">
        <f>HYPERLINK("http://mouse.brain-map.org/brain/Uchl3/69116402.html?ispopup=true","Series summary")</f>
        <v>Series summary</v>
      </c>
      <c r="G340" t="str">
        <f>HYPERLINK("http://mouse.brain-map.org/brain/Uchl3/69116402/thumbnails.html?ispopup=true","Thumbnails")</f>
        <v>Thumbnails</v>
      </c>
    </row>
    <row r="341" spans="1:7" ht="12.75">
      <c r="A341">
        <v>339</v>
      </c>
      <c r="B341" t="s">
        <v>997</v>
      </c>
      <c r="C341" t="s">
        <v>998</v>
      </c>
      <c r="D341" t="s">
        <v>999</v>
      </c>
      <c r="E341">
        <v>14886</v>
      </c>
      <c r="F341" t="str">
        <f>HYPERLINK("http://mouse.brain-map.org/brain/Gtf2i/2277.html?ispopup=true","Series summary")</f>
        <v>Series summary</v>
      </c>
      <c r="G341" t="str">
        <f>HYPERLINK("http://mouse.brain-map.org/brain/Gtf2i/2277/thumbnails.html?ispopup=true","Thumbnails")</f>
        <v>Thumbnails</v>
      </c>
    </row>
    <row r="342" spans="1:7" ht="12.75">
      <c r="A342">
        <v>340</v>
      </c>
      <c r="B342" t="s">
        <v>1000</v>
      </c>
      <c r="C342" t="s">
        <v>1001</v>
      </c>
      <c r="D342" t="s">
        <v>1002</v>
      </c>
      <c r="E342" t="s">
        <v>58</v>
      </c>
      <c r="F342" t="str">
        <f>HYPERLINK("http://mouse.brain-map.org/brain/TC1536776/79762708.html?ispopup=true","Series summary")</f>
        <v>Series summary</v>
      </c>
      <c r="G342" t="str">
        <f>HYPERLINK("http://mouse.brain-map.org/brain/TC1536776/79762708/thumbnails.html?ispopup=true","Thumbnails")</f>
        <v>Thumbnails</v>
      </c>
    </row>
    <row r="343" spans="1:7" ht="12.75">
      <c r="A343">
        <v>341</v>
      </c>
      <c r="B343" t="s">
        <v>1003</v>
      </c>
      <c r="C343" t="s">
        <v>1004</v>
      </c>
      <c r="D343" t="s">
        <v>1005</v>
      </c>
      <c r="E343">
        <v>16572</v>
      </c>
      <c r="F343" t="str">
        <f>HYPERLINK("http://mouse.brain-map.org/brain/Kif5a/79360322.html?ispopup=true","Series summary")</f>
        <v>Series summary</v>
      </c>
      <c r="G343" t="str">
        <f>HYPERLINK("http://mouse.brain-map.org/brain/Kif5a/79360322/thumbnails.html?ispopup=true","Thumbnails")</f>
        <v>Thumbnails</v>
      </c>
    </row>
    <row r="344" spans="1:7" ht="12.75">
      <c r="A344">
        <v>342</v>
      </c>
      <c r="B344" t="s">
        <v>1006</v>
      </c>
      <c r="C344" t="s">
        <v>1007</v>
      </c>
      <c r="D344" t="s">
        <v>1008</v>
      </c>
      <c r="E344">
        <v>16980</v>
      </c>
      <c r="F344" t="str">
        <f>HYPERLINK("http://mouse.brain-map.org/brain/Lrrn2/74819328.html?ispopup=true","Series summary")</f>
        <v>Series summary</v>
      </c>
      <c r="G344" t="str">
        <f>HYPERLINK("http://mouse.brain-map.org/brain/Lrrn2/74819328/thumbnails.html?ispopup=true","Thumbnails")</f>
        <v>Thumbnails</v>
      </c>
    </row>
    <row r="345" spans="1:7" ht="12.75">
      <c r="A345">
        <v>343</v>
      </c>
      <c r="B345" t="s">
        <v>1009</v>
      </c>
      <c r="C345" t="s">
        <v>1010</v>
      </c>
      <c r="D345" t="s">
        <v>1011</v>
      </c>
      <c r="E345">
        <v>227632</v>
      </c>
      <c r="F345" t="str">
        <f>HYPERLINK("http://mouse.brain-map.org/brain/Kcnt1/71211407.html?ispopup=true","Series summary")</f>
        <v>Series summary</v>
      </c>
      <c r="G345" t="str">
        <f>HYPERLINK("http://mouse.brain-map.org/brain/Kcnt1/71211407/thumbnails.html?ispopup=true","Thumbnails")</f>
        <v>Thumbnails</v>
      </c>
    </row>
    <row r="346" spans="1:7" ht="12.75">
      <c r="A346">
        <v>344</v>
      </c>
      <c r="B346" t="s">
        <v>1012</v>
      </c>
      <c r="C346" t="s">
        <v>1013</v>
      </c>
      <c r="D346" t="s">
        <v>1014</v>
      </c>
      <c r="E346">
        <v>66627</v>
      </c>
      <c r="F346" t="str">
        <f>HYPERLINK("http://mouse.brain-map.org/brain/Ogfod2/69169797.html?ispopup=true","Series summary")</f>
        <v>Series summary</v>
      </c>
      <c r="G346" t="str">
        <f>HYPERLINK("http://mouse.brain-map.org/brain/Ogfod2/69169797/thumbnails.html?ispopup=true","Thumbnails")</f>
        <v>Thumbnails</v>
      </c>
    </row>
    <row r="347" spans="1:7" ht="12.75">
      <c r="A347">
        <v>345</v>
      </c>
      <c r="B347" t="s">
        <v>1015</v>
      </c>
      <c r="C347" t="s">
        <v>1016</v>
      </c>
      <c r="D347" t="s">
        <v>1017</v>
      </c>
      <c r="E347">
        <v>19259</v>
      </c>
      <c r="F347" t="str">
        <f>HYPERLINK("http://mouse.brain-map.org/brain/Ptpn5/74743293.html?ispopup=true","Series summary")</f>
        <v>Series summary</v>
      </c>
      <c r="G347" t="str">
        <f>HYPERLINK("http://mouse.brain-map.org/brain/Ptpn5/74743293/thumbnails.html?ispopup=true","Thumbnails")</f>
        <v>Thumbnails</v>
      </c>
    </row>
    <row r="348" spans="1:7" ht="12.75">
      <c r="A348">
        <v>346</v>
      </c>
      <c r="B348" t="s">
        <v>1018</v>
      </c>
      <c r="C348" t="s">
        <v>1019</v>
      </c>
      <c r="D348" t="s">
        <v>1020</v>
      </c>
      <c r="E348">
        <v>23970</v>
      </c>
      <c r="F348" t="str">
        <f>HYPERLINK("http://mouse.brain-map.org/brain/Pacsin2/74638864.html?ispopup=true","Series summary")</f>
        <v>Series summary</v>
      </c>
      <c r="G348" t="str">
        <f>HYPERLINK("http://mouse.brain-map.org/brain/Pacsin2/74638864/thumbnails.html?ispopup=true","Thumbnails")</f>
        <v>Thumbnails</v>
      </c>
    </row>
    <row r="349" spans="1:7" ht="12.75">
      <c r="A349">
        <v>347</v>
      </c>
      <c r="B349" t="s">
        <v>1021</v>
      </c>
      <c r="C349" t="s">
        <v>1022</v>
      </c>
      <c r="D349" t="s">
        <v>1023</v>
      </c>
      <c r="E349">
        <v>330695</v>
      </c>
      <c r="F349" t="str">
        <f>HYPERLINK("http://mouse.brain-map.org/brain/Ctxn1/74586669.html?ispopup=true","Series summary")</f>
        <v>Series summary</v>
      </c>
      <c r="G349" t="str">
        <f>HYPERLINK("http://mouse.brain-map.org/brain/Ctxn1/74586669/thumbnails.html?ispopup=true","Thumbnails")</f>
        <v>Thumbnails</v>
      </c>
    </row>
    <row r="350" spans="1:7" ht="12.75">
      <c r="A350">
        <v>348</v>
      </c>
      <c r="B350" t="s">
        <v>1024</v>
      </c>
      <c r="C350" t="s">
        <v>1025</v>
      </c>
      <c r="D350" t="s">
        <v>1026</v>
      </c>
      <c r="E350">
        <v>217109</v>
      </c>
      <c r="F350" t="str">
        <f>HYPERLINK("http://mouse.brain-map.org/brain/Utp18/69444777.html?ispopup=true","Series summary")</f>
        <v>Series summary</v>
      </c>
      <c r="G350" t="str">
        <f>HYPERLINK("http://mouse.brain-map.org/brain/Utp18/69444777/thumbnails.html?ispopup=true","Thumbnails")</f>
        <v>Thumbnails</v>
      </c>
    </row>
    <row r="351" spans="1:7" ht="12.75">
      <c r="A351">
        <v>349</v>
      </c>
      <c r="B351" t="s">
        <v>1027</v>
      </c>
      <c r="C351" t="s">
        <v>1028</v>
      </c>
      <c r="D351" t="s">
        <v>1029</v>
      </c>
      <c r="E351">
        <v>14409</v>
      </c>
      <c r="F351" t="str">
        <f>HYPERLINK("http://mouse.brain-map.org/brain/Gabrr2/79760466.html?ispopup=true","Series summary")</f>
        <v>Series summary</v>
      </c>
      <c r="G351" t="str">
        <f>HYPERLINK("http://mouse.brain-map.org/brain/Gabrr2/79760466/thumbnails.html?ispopup=true","Thumbnails")</f>
        <v>Thumbnails</v>
      </c>
    </row>
    <row r="352" spans="1:7" ht="12.75">
      <c r="A352">
        <v>350</v>
      </c>
      <c r="B352" t="s">
        <v>1030</v>
      </c>
      <c r="C352" t="s">
        <v>1031</v>
      </c>
      <c r="D352" t="s">
        <v>1032</v>
      </c>
      <c r="E352">
        <v>433855</v>
      </c>
      <c r="F352" t="str">
        <f>HYPERLINK("http://mouse.brain-map.org/brain/AI506816/70300192.html?ispopup=true","Series summary")</f>
        <v>Series summary</v>
      </c>
      <c r="G352" t="str">
        <f>HYPERLINK("http://mouse.brain-map.org/brain/AI506816/70300192/thumbnails.html?ispopup=true","Thumbnails")</f>
        <v>Thumbnails</v>
      </c>
    </row>
    <row r="353" spans="1:7" ht="12.75">
      <c r="A353">
        <v>351</v>
      </c>
      <c r="B353" t="s">
        <v>1033</v>
      </c>
      <c r="C353" t="s">
        <v>1034</v>
      </c>
      <c r="D353" t="s">
        <v>1035</v>
      </c>
      <c r="E353">
        <v>237858</v>
      </c>
      <c r="F353" t="str">
        <f>HYPERLINK("http://mouse.brain-map.org/brain/Tusc5/70192147.html?ispopup=true","Series summary")</f>
        <v>Series summary</v>
      </c>
      <c r="G353" t="str">
        <f>HYPERLINK("http://mouse.brain-map.org/brain/Tusc5/70192147/thumbnails.html?ispopup=true","Thumbnails")</f>
        <v>Thumbnails</v>
      </c>
    </row>
    <row r="354" spans="1:7" ht="12.75">
      <c r="A354">
        <v>352</v>
      </c>
      <c r="B354" t="s">
        <v>1036</v>
      </c>
      <c r="C354" t="s">
        <v>1037</v>
      </c>
      <c r="D354" t="s">
        <v>1038</v>
      </c>
      <c r="E354">
        <v>114584</v>
      </c>
      <c r="F354" t="str">
        <f>HYPERLINK("http://mouse.brain-map.org/brain/Clic1/67809267.html?ispopup=true","Series summary")</f>
        <v>Series summary</v>
      </c>
      <c r="G354" t="str">
        <f>HYPERLINK("http://mouse.brain-map.org/brain/Clic1/67809267/thumbnails.html?ispopup=true","Thumbnails")</f>
        <v>Thumbnails</v>
      </c>
    </row>
    <row r="355" spans="1:7" ht="12.75">
      <c r="A355">
        <v>353</v>
      </c>
      <c r="B355" t="s">
        <v>1039</v>
      </c>
      <c r="C355" t="s">
        <v>1040</v>
      </c>
      <c r="D355" t="s">
        <v>1041</v>
      </c>
      <c r="E355">
        <v>53618</v>
      </c>
      <c r="F355" t="str">
        <f>HYPERLINK("http://mouse.brain-map.org/brain/Fut8/72007749.html?ispopup=true","Series summary")</f>
        <v>Series summary</v>
      </c>
      <c r="G355" t="str">
        <f>HYPERLINK("http://mouse.brain-map.org/brain/Fut8/72007749/thumbnails.html?ispopup=true","Thumbnails")</f>
        <v>Thumbnails</v>
      </c>
    </row>
    <row r="356" spans="1:7" ht="12.75">
      <c r="A356">
        <v>354</v>
      </c>
      <c r="B356" t="s">
        <v>416</v>
      </c>
      <c r="C356" t="s">
        <v>1042</v>
      </c>
      <c r="D356" t="s">
        <v>418</v>
      </c>
      <c r="E356">
        <v>20516</v>
      </c>
      <c r="F356" t="str">
        <f>HYPERLINK("http://mouse.brain-map.org/brain/Slc20a2/69262278.html?ispopup=true","Series summary")</f>
        <v>Series summary</v>
      </c>
      <c r="G356" t="str">
        <f>HYPERLINK("http://mouse.brain-map.org/brain/Slc20a2/69262278/thumbnails.html?ispopup=true","Thumbnails")</f>
        <v>Thumbnails</v>
      </c>
    </row>
    <row r="357" spans="1:7" ht="12.75">
      <c r="A357">
        <v>355</v>
      </c>
      <c r="B357" t="s">
        <v>890</v>
      </c>
      <c r="C357" t="s">
        <v>1043</v>
      </c>
      <c r="D357" t="s">
        <v>892</v>
      </c>
      <c r="E357">
        <v>53619</v>
      </c>
      <c r="F357" t="str">
        <f>HYPERLINK("http://mouse.brain-map.org/brain/Blcap/71016617.html?ispopup=true","Series summary")</f>
        <v>Series summary</v>
      </c>
      <c r="G357" t="str">
        <f>HYPERLINK("http://mouse.brain-map.org/brain/Blcap/71016617/thumbnails.html?ispopup=true","Thumbnails")</f>
        <v>Thumbnails</v>
      </c>
    </row>
    <row r="358" spans="1:7" ht="12.75">
      <c r="A358">
        <v>356</v>
      </c>
      <c r="B358" t="s">
        <v>1044</v>
      </c>
      <c r="C358" t="s">
        <v>1045</v>
      </c>
      <c r="D358" t="s">
        <v>1046</v>
      </c>
      <c r="E358">
        <v>64383</v>
      </c>
      <c r="F358" t="str">
        <f>HYPERLINK("http://mouse.brain-map.org/brain/Sirt2/74990520.html?ispopup=true","Series summary")</f>
        <v>Series summary</v>
      </c>
      <c r="G358" t="str">
        <f>HYPERLINK("http://mouse.brain-map.org/brain/Sirt2/74990520/thumbnails.html?ispopup=true","Thumbnails")</f>
        <v>Thumbnails</v>
      </c>
    </row>
    <row r="359" spans="1:7" ht="12.75">
      <c r="A359">
        <v>357</v>
      </c>
      <c r="B359" t="s">
        <v>1047</v>
      </c>
      <c r="C359" t="s">
        <v>1048</v>
      </c>
      <c r="D359" t="s">
        <v>1049</v>
      </c>
      <c r="E359">
        <v>319688</v>
      </c>
      <c r="F359" t="str">
        <f>HYPERLINK("http://mouse.brain-map.org/brain/5930422O12Rik/69444735.html?ispopup=true","Series summary")</f>
        <v>Series summary</v>
      </c>
      <c r="G359" t="str">
        <f>HYPERLINK("http://mouse.brain-map.org/brain/5930422O12Rik/69444735/thumbnails.html?ispopup=true","Thumbnails")</f>
        <v>Thumbnails</v>
      </c>
    </row>
    <row r="360" spans="1:7" ht="12.75">
      <c r="A360">
        <v>358</v>
      </c>
      <c r="B360" t="s">
        <v>1050</v>
      </c>
      <c r="C360" t="s">
        <v>1051</v>
      </c>
      <c r="D360" t="s">
        <v>1052</v>
      </c>
      <c r="E360">
        <v>70591</v>
      </c>
      <c r="F360" t="str">
        <f>HYPERLINK("http://mouse.brain-map.org/brain/5730455P16Rik/69013744.html?ispopup=true","Series summary")</f>
        <v>Series summary</v>
      </c>
      <c r="G360" t="str">
        <f>HYPERLINK("http://mouse.brain-map.org/brain/5730455P16Rik/69013744/thumbnails.html?ispopup=true","Thumbnails")</f>
        <v>Thumbnails</v>
      </c>
    </row>
    <row r="361" spans="1:7" ht="12.75">
      <c r="A361">
        <v>359</v>
      </c>
      <c r="B361" t="s">
        <v>1053</v>
      </c>
      <c r="C361" t="s">
        <v>1054</v>
      </c>
      <c r="D361" t="s">
        <v>1055</v>
      </c>
      <c r="E361">
        <v>240185</v>
      </c>
      <c r="F361" t="str">
        <f>HYPERLINK("http://mouse.brain-map.org/brain/9430020K01Rik/75988537.html?ispopup=true","Series summary")</f>
        <v>Series summary</v>
      </c>
      <c r="G361" t="str">
        <f>HYPERLINK("http://mouse.brain-map.org/brain/9430020K01Rik/75988537/thumbnails.html?ispopup=true","Thumbnails")</f>
        <v>Thumbnails</v>
      </c>
    </row>
    <row r="362" spans="1:7" ht="12.75">
      <c r="A362">
        <v>360</v>
      </c>
      <c r="B362" t="s">
        <v>1056</v>
      </c>
      <c r="C362" t="s">
        <v>1057</v>
      </c>
      <c r="D362" t="s">
        <v>1058</v>
      </c>
      <c r="E362">
        <v>93893</v>
      </c>
      <c r="F362" t="str">
        <f>HYPERLINK("http://mouse.brain-map.org/brain/Pcdhb22/77620845.html?ispopup=true","Series summary")</f>
        <v>Series summary</v>
      </c>
      <c r="G362" t="str">
        <f>HYPERLINK("http://mouse.brain-map.org/brain/Pcdhb22/77620845/thumbnails.html?ispopup=true","Thumbnails")</f>
        <v>Thumbnails</v>
      </c>
    </row>
    <row r="363" spans="1:7" ht="12.75">
      <c r="A363">
        <v>361</v>
      </c>
      <c r="B363" t="s">
        <v>1059</v>
      </c>
      <c r="C363" t="s">
        <v>1060</v>
      </c>
      <c r="D363" t="s">
        <v>1061</v>
      </c>
      <c r="E363">
        <v>213819</v>
      </c>
      <c r="F363" t="str">
        <f>HYPERLINK("http://mouse.brain-map.org/brain/Casd1/77620473.html?ispopup=true","Series summary")</f>
        <v>Series summary</v>
      </c>
      <c r="G363" t="str">
        <f>HYPERLINK("http://mouse.brain-map.org/brain/Casd1/77620473/thumbnails.html?ispopup=true","Thumbnails")</f>
        <v>Thumbnails</v>
      </c>
    </row>
    <row r="364" spans="1:7" ht="12.75">
      <c r="A364">
        <v>362</v>
      </c>
      <c r="B364" t="s">
        <v>1062</v>
      </c>
      <c r="C364" t="s">
        <v>1063</v>
      </c>
      <c r="D364" t="s">
        <v>1064</v>
      </c>
      <c r="E364">
        <v>76795</v>
      </c>
      <c r="F364" t="str">
        <f>HYPERLINK("http://mouse.brain-map.org/brain/Tbc1d9b/70542909.html?ispopup=true","Series summary")</f>
        <v>Series summary</v>
      </c>
      <c r="G364" t="str">
        <f>HYPERLINK("http://mouse.brain-map.org/brain/Tbc1d9b/70542909/thumbnails.html?ispopup=true","Thumbnails")</f>
        <v>Thumbnails</v>
      </c>
    </row>
    <row r="365" spans="1:7" ht="12.75">
      <c r="A365">
        <v>363</v>
      </c>
      <c r="B365" t="s">
        <v>1065</v>
      </c>
      <c r="C365" t="s">
        <v>1066</v>
      </c>
      <c r="D365" t="s">
        <v>1067</v>
      </c>
      <c r="E365">
        <v>12741</v>
      </c>
      <c r="F365" t="str">
        <f>HYPERLINK("http://mouse.brain-map.org/brain/Cldn5/79490120.html?ispopup=true","Series summary")</f>
        <v>Series summary</v>
      </c>
      <c r="G365" t="str">
        <f>HYPERLINK("http://mouse.brain-map.org/brain/Cldn5/79490120/thumbnails.html?ispopup=true","Thumbnails")</f>
        <v>Thumbnails</v>
      </c>
    </row>
    <row r="366" spans="1:7" ht="12.75">
      <c r="A366">
        <v>364</v>
      </c>
      <c r="B366" t="s">
        <v>1068</v>
      </c>
      <c r="C366" t="s">
        <v>1069</v>
      </c>
      <c r="D366" t="s">
        <v>1070</v>
      </c>
      <c r="E366">
        <v>268294</v>
      </c>
      <c r="F366" t="str">
        <f>HYPERLINK("http://mouse.brain-map.org/brain/Zbtb24/73592542.html?ispopup=true","Series summary")</f>
        <v>Series summary</v>
      </c>
      <c r="G366" t="str">
        <f>HYPERLINK("http://mouse.brain-map.org/brain/Zbtb24/73592542/thumbnails.html?ispopup=true","Thumbnails")</f>
        <v>Thumbnails</v>
      </c>
    </row>
    <row r="367" spans="1:7" ht="12.75">
      <c r="A367">
        <v>365</v>
      </c>
      <c r="B367" t="s">
        <v>1071</v>
      </c>
      <c r="C367" t="s">
        <v>1072</v>
      </c>
      <c r="D367" t="s">
        <v>1073</v>
      </c>
      <c r="E367">
        <v>68682</v>
      </c>
      <c r="F367" t="str">
        <f>HYPERLINK("http://mouse.brain-map.org/brain/Slc44a2/79756317.html?ispopup=true","Series summary")</f>
        <v>Series summary</v>
      </c>
      <c r="G367" t="str">
        <f>HYPERLINK("http://mouse.brain-map.org/brain/Slc44a2/79756317/thumbnails.html?ispopup=true","Thumbnails")</f>
        <v>Thumbnails</v>
      </c>
    </row>
    <row r="368" spans="1:7" ht="12.75">
      <c r="A368">
        <v>366</v>
      </c>
      <c r="B368" t="s">
        <v>1074</v>
      </c>
      <c r="C368" t="s">
        <v>1075</v>
      </c>
      <c r="D368" t="s">
        <v>1076</v>
      </c>
      <c r="E368">
        <v>20358</v>
      </c>
      <c r="F368" t="str">
        <f>HYPERLINK("http://mouse.brain-map.org/brain/Sema6a/68844851.html?ispopup=true","Series summary")</f>
        <v>Series summary</v>
      </c>
      <c r="G368" t="str">
        <f>HYPERLINK("http://mouse.brain-map.org/brain/Sema6a/68844851/thumbnails.html?ispopup=true","Thumbnails")</f>
        <v>Thumbnails</v>
      </c>
    </row>
    <row r="369" spans="1:7" ht="12.75">
      <c r="A369">
        <v>367</v>
      </c>
      <c r="B369" t="s">
        <v>1077</v>
      </c>
      <c r="C369" t="s">
        <v>1078</v>
      </c>
      <c r="D369" t="s">
        <v>1079</v>
      </c>
      <c r="E369">
        <v>14807</v>
      </c>
      <c r="F369" t="str">
        <f>HYPERLINK("http://mouse.brain-map.org/brain/Grik3/75749418.html?ispopup=true","Series summary")</f>
        <v>Series summary</v>
      </c>
      <c r="G369" t="str">
        <f>HYPERLINK("http://mouse.brain-map.org/brain/Grik3/75749418/thumbnails.html?ispopup=true","Thumbnails")</f>
        <v>Thumbnails</v>
      </c>
    </row>
    <row r="370" spans="1:7" ht="12.75">
      <c r="A370">
        <v>368</v>
      </c>
      <c r="B370" t="s">
        <v>811</v>
      </c>
      <c r="C370" t="s">
        <v>1080</v>
      </c>
      <c r="D370" t="s">
        <v>813</v>
      </c>
      <c r="E370">
        <v>218442</v>
      </c>
      <c r="F370" t="str">
        <f>HYPERLINK("http://mouse.brain-map.org/brain/Serinc5/77790714.html?ispopup=true","Series summary")</f>
        <v>Series summary</v>
      </c>
      <c r="G370" t="str">
        <f>HYPERLINK("http://mouse.brain-map.org/brain/Serinc5/77790714/thumbnails.html?ispopup=true","Thumbnails")</f>
        <v>Thumbnails</v>
      </c>
    </row>
    <row r="371" spans="1:7" ht="12.75">
      <c r="A371">
        <v>369</v>
      </c>
      <c r="B371" t="s">
        <v>1081</v>
      </c>
      <c r="C371" t="s">
        <v>1082</v>
      </c>
      <c r="D371" t="s">
        <v>1083</v>
      </c>
      <c r="E371">
        <v>12567</v>
      </c>
      <c r="F371" t="str">
        <f>HYPERLINK("http://mouse.brain-map.org/brain/Cdk4/79677345.html?ispopup=true","Series summary")</f>
        <v>Series summary</v>
      </c>
      <c r="G371" t="str">
        <f>HYPERLINK("http://mouse.brain-map.org/brain/Cdk4/79677345/thumbnails.html?ispopup=true","Thumbnails")</f>
        <v>Thumbnails</v>
      </c>
    </row>
    <row r="372" spans="1:7" ht="12.75">
      <c r="A372">
        <v>370</v>
      </c>
      <c r="B372" t="s">
        <v>1084</v>
      </c>
      <c r="C372" t="s">
        <v>1085</v>
      </c>
      <c r="D372" t="s">
        <v>1086</v>
      </c>
      <c r="E372">
        <v>20024</v>
      </c>
      <c r="F372" t="str">
        <f>HYPERLINK("http://mouse.brain-map.org/brain/Sub1/356490.html?ispopup=true","Series summary")</f>
        <v>Series summary</v>
      </c>
      <c r="G372" t="str">
        <f>HYPERLINK("http://mouse.brain-map.org/brain/Sub1/356490/thumbnails.html?ispopup=true","Thumbnails")</f>
        <v>Thumbnails</v>
      </c>
    </row>
    <row r="373" spans="1:7" ht="12.75">
      <c r="A373">
        <v>371</v>
      </c>
      <c r="B373" t="s">
        <v>1087</v>
      </c>
      <c r="C373" t="s">
        <v>1088</v>
      </c>
      <c r="D373" t="s">
        <v>1089</v>
      </c>
      <c r="E373">
        <v>235134</v>
      </c>
      <c r="F373" t="str">
        <f>HYPERLINK("http://mouse.brain-map.org/brain/Nfrkb/75831740.html?ispopup=true","Series summary")</f>
        <v>Series summary</v>
      </c>
      <c r="G373" t="str">
        <f>HYPERLINK("http://mouse.brain-map.org/brain/Nfrkb/75831740/thumbnails.html?ispopup=true","Thumbnails")</f>
        <v>Thumbnails</v>
      </c>
    </row>
    <row r="374" spans="1:7" ht="12.75">
      <c r="A374">
        <v>372</v>
      </c>
      <c r="B374" t="s">
        <v>1090</v>
      </c>
      <c r="C374" t="s">
        <v>1091</v>
      </c>
      <c r="D374" t="s">
        <v>1092</v>
      </c>
      <c r="E374">
        <v>103963</v>
      </c>
      <c r="F374" t="str">
        <f>HYPERLINK("http://mouse.brain-map.org/brain/Rpn1/638734.html?ispopup=true","Series summary")</f>
        <v>Series summary</v>
      </c>
      <c r="G374" t="str">
        <f>HYPERLINK("http://mouse.brain-map.org/brain/Rpn1/638734/thumbnails.html?ispopup=true","Thumbnails")</f>
        <v>Thumbnails</v>
      </c>
    </row>
    <row r="375" spans="1:7" ht="12.75">
      <c r="A375">
        <v>373</v>
      </c>
      <c r="B375" t="s">
        <v>1093</v>
      </c>
      <c r="C375" t="s">
        <v>1094</v>
      </c>
      <c r="D375" t="s">
        <v>1095</v>
      </c>
      <c r="E375">
        <v>20525</v>
      </c>
      <c r="F375" t="str">
        <f>HYPERLINK("http://mouse.brain-map.org/brain/Slc2a1/69873875.html?ispopup=true","Series summary")</f>
        <v>Series summary</v>
      </c>
      <c r="G375" t="str">
        <f>HYPERLINK("http://mouse.brain-map.org/brain/Slc2a1/69873875/thumbnails.html?ispopup=true","Thumbnails")</f>
        <v>Thumbnails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</cp:lastModifiedBy>
  <dcterms:modified xsi:type="dcterms:W3CDTF">2010-12-05T02:47:30Z</dcterms:modified>
  <cp:category/>
  <cp:version/>
  <cp:contentType/>
  <cp:contentStatus/>
</cp:coreProperties>
</file>